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ha\Documents\a_imins website docos\Financijsko poslovanje\Proračun i projekcije 2020.2021. godina\"/>
    </mc:Choice>
  </mc:AlternateContent>
  <xr:revisionPtr revIDLastSave="0" documentId="8_{8D0159B6-B865-4172-B4CB-784C1420EFA3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Opći dio" sheetId="1" r:id="rId1"/>
    <sheet name="Plan prihoda za unos u SAP" sheetId="2" r:id="rId2"/>
    <sheet name="Plan rashoda za unos u SAP" sheetId="3" r:id="rId3"/>
    <sheet name="PLAN PRIHODA I PRIMITAKA " sheetId="4" r:id="rId4"/>
    <sheet name="PLAN RASHODA I IZDATAKA" sheetId="5" r:id="rId5"/>
    <sheet name="PLAN IZDATAKA" sheetId="6" r:id="rId6"/>
    <sheet name="ANALITIKA EU PROJEKATA" sheetId="7" r:id="rId7"/>
    <sheet name="AKT" sheetId="8" r:id="rId8"/>
    <sheet name="p4" sheetId="9" r:id="rId9"/>
  </sheets>
  <definedNames>
    <definedName name="_FiltarBaze" localSheetId="4">'PLAN RASHODA I IZDATAKA'!#REF!</definedName>
    <definedName name="_xlnm._FilterDatabase" localSheetId="6">'ANALITIKA EU PROJEKATA'!$A$2:$I$3</definedName>
    <definedName name="_xlnm._FilterDatabase" localSheetId="1">'Plan prihoda za unos u SAP'!$A$2:$I$3</definedName>
    <definedName name="_xlnm._FilterDatabase" localSheetId="4" hidden="1">'PLAN RASHODA I IZDATAKA'!$A$70:$P$85</definedName>
    <definedName name="_xlnm._FilterDatabase" localSheetId="2">'Plan rashoda za unos u SAP'!$A$2:$K$3</definedName>
    <definedName name="_xlnm.Print_Area" localSheetId="6">'ANALITIKA EU PROJEKATA'!$A$2:$I$3</definedName>
    <definedName name="_xlnm.Print_Area" localSheetId="0">'Opći dio'!$A$3:$E$32</definedName>
    <definedName name="_xlnm.Print_Area" localSheetId="1">'Plan prihoda za unos u SAP'!$A$2:$I$3</definedName>
    <definedName name="_xlnm.Print_Area" localSheetId="2">'Plan rashoda za unos u SAP'!$A$2:$K$3</definedName>
    <definedName name="_xlnm.Print_Titles" localSheetId="6">'ANALITIKA EU PROJEKATA'!$2:$2</definedName>
    <definedName name="_xlnm.Print_Titles" localSheetId="1">'Plan prihoda za unos u SAP'!$2:$2</definedName>
    <definedName name="_xlnm.Print_Titles" localSheetId="4">'PLAN RASHODA I IZDATAKA'!$1:$2</definedName>
    <definedName name="_xlnm.Print_Titles" localSheetId="2">'Plan rashoda za unos u SAP'!$2:$2</definedName>
    <definedName name="SAPBEXhrIndnt">1</definedName>
    <definedName name="SAPBEXrevision">1</definedName>
    <definedName name="SAPBEXsysID">"PBW"</definedName>
    <definedName name="SAPBEXwbID">"C7P4ZZNWMVNLSDLB24HAO64UB"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501" i="7" l="1"/>
  <c r="P501" i="7"/>
  <c r="F501" i="7"/>
  <c r="D501" i="7"/>
  <c r="B501" i="7"/>
  <c r="Q500" i="7"/>
  <c r="P500" i="7"/>
  <c r="F500" i="7"/>
  <c r="D500" i="7"/>
  <c r="B500" i="7"/>
  <c r="Q499" i="7"/>
  <c r="P499" i="7"/>
  <c r="F499" i="7"/>
  <c r="D499" i="7"/>
  <c r="B499" i="7"/>
  <c r="Q498" i="7"/>
  <c r="P498" i="7"/>
  <c r="F498" i="7"/>
  <c r="D498" i="7"/>
  <c r="B498" i="7"/>
  <c r="Q497" i="7"/>
  <c r="P497" i="7"/>
  <c r="F497" i="7"/>
  <c r="D497" i="7"/>
  <c r="B497" i="7"/>
  <c r="Q496" i="7"/>
  <c r="P496" i="7"/>
  <c r="F496" i="7"/>
  <c r="D496" i="7"/>
  <c r="B496" i="7"/>
  <c r="Q495" i="7"/>
  <c r="P495" i="7"/>
  <c r="F495" i="7"/>
  <c r="D495" i="7"/>
  <c r="B495" i="7"/>
  <c r="Q494" i="7"/>
  <c r="P494" i="7"/>
  <c r="F494" i="7"/>
  <c r="D494" i="7"/>
  <c r="B494" i="7"/>
  <c r="Q493" i="7"/>
  <c r="P493" i="7"/>
  <c r="F493" i="7"/>
  <c r="D493" i="7"/>
  <c r="B493" i="7"/>
  <c r="Q492" i="7"/>
  <c r="P492" i="7"/>
  <c r="F492" i="7"/>
  <c r="D492" i="7"/>
  <c r="B492" i="7"/>
  <c r="Q491" i="7"/>
  <c r="P491" i="7"/>
  <c r="F491" i="7"/>
  <c r="D491" i="7"/>
  <c r="B491" i="7"/>
  <c r="Q490" i="7"/>
  <c r="P490" i="7"/>
  <c r="F490" i="7"/>
  <c r="D490" i="7"/>
  <c r="B490" i="7"/>
  <c r="Q489" i="7"/>
  <c r="P489" i="7"/>
  <c r="F489" i="7"/>
  <c r="D489" i="7"/>
  <c r="B489" i="7"/>
  <c r="Q488" i="7"/>
  <c r="P488" i="7"/>
  <c r="F488" i="7"/>
  <c r="D488" i="7"/>
  <c r="B488" i="7"/>
  <c r="Q487" i="7"/>
  <c r="P487" i="7"/>
  <c r="F487" i="7"/>
  <c r="D487" i="7"/>
  <c r="B487" i="7"/>
  <c r="Q486" i="7"/>
  <c r="P486" i="7"/>
  <c r="F486" i="7"/>
  <c r="D486" i="7"/>
  <c r="B486" i="7"/>
  <c r="Q485" i="7"/>
  <c r="P485" i="7"/>
  <c r="F485" i="7"/>
  <c r="D485" i="7"/>
  <c r="B485" i="7"/>
  <c r="Q484" i="7"/>
  <c r="P484" i="7"/>
  <c r="F484" i="7"/>
  <c r="D484" i="7"/>
  <c r="B484" i="7"/>
  <c r="Q483" i="7"/>
  <c r="P483" i="7"/>
  <c r="F483" i="7"/>
  <c r="D483" i="7"/>
  <c r="B483" i="7"/>
  <c r="Q482" i="7"/>
  <c r="P482" i="7"/>
  <c r="F482" i="7"/>
  <c r="D482" i="7"/>
  <c r="B482" i="7"/>
  <c r="Q481" i="7"/>
  <c r="P481" i="7"/>
  <c r="F481" i="7"/>
  <c r="D481" i="7"/>
  <c r="B481" i="7"/>
  <c r="Q480" i="7"/>
  <c r="P480" i="7"/>
  <c r="F480" i="7"/>
  <c r="D480" i="7"/>
  <c r="B480" i="7"/>
  <c r="Q479" i="7"/>
  <c r="P479" i="7"/>
  <c r="F479" i="7"/>
  <c r="D479" i="7"/>
  <c r="B479" i="7"/>
  <c r="Q478" i="7"/>
  <c r="P478" i="7"/>
  <c r="F478" i="7"/>
  <c r="D478" i="7"/>
  <c r="B478" i="7"/>
  <c r="Q477" i="7"/>
  <c r="P477" i="7"/>
  <c r="F477" i="7"/>
  <c r="D477" i="7"/>
  <c r="B477" i="7"/>
  <c r="Q476" i="7"/>
  <c r="P476" i="7"/>
  <c r="F476" i="7"/>
  <c r="D476" i="7"/>
  <c r="B476" i="7"/>
  <c r="Q475" i="7"/>
  <c r="P475" i="7"/>
  <c r="F475" i="7"/>
  <c r="D475" i="7"/>
  <c r="B475" i="7"/>
  <c r="Q474" i="7"/>
  <c r="P474" i="7"/>
  <c r="F474" i="7"/>
  <c r="D474" i="7"/>
  <c r="B474" i="7"/>
  <c r="Q473" i="7"/>
  <c r="P473" i="7"/>
  <c r="F473" i="7"/>
  <c r="D473" i="7"/>
  <c r="B473" i="7"/>
  <c r="Q472" i="7"/>
  <c r="P472" i="7"/>
  <c r="F472" i="7"/>
  <c r="D472" i="7"/>
  <c r="B472" i="7"/>
  <c r="Q471" i="7"/>
  <c r="P471" i="7"/>
  <c r="F471" i="7"/>
  <c r="D471" i="7"/>
  <c r="B471" i="7"/>
  <c r="Q470" i="7"/>
  <c r="P470" i="7"/>
  <c r="F470" i="7"/>
  <c r="D470" i="7"/>
  <c r="B470" i="7"/>
  <c r="Q469" i="7"/>
  <c r="P469" i="7"/>
  <c r="F469" i="7"/>
  <c r="D469" i="7"/>
  <c r="B469" i="7"/>
  <c r="Q468" i="7"/>
  <c r="P468" i="7"/>
  <c r="F468" i="7"/>
  <c r="D468" i="7"/>
  <c r="B468" i="7"/>
  <c r="Q467" i="7"/>
  <c r="P467" i="7"/>
  <c r="F467" i="7"/>
  <c r="D467" i="7"/>
  <c r="B467" i="7"/>
  <c r="Q466" i="7"/>
  <c r="P466" i="7"/>
  <c r="F466" i="7"/>
  <c r="D466" i="7"/>
  <c r="B466" i="7"/>
  <c r="Q465" i="7"/>
  <c r="P465" i="7"/>
  <c r="F465" i="7"/>
  <c r="D465" i="7"/>
  <c r="B465" i="7"/>
  <c r="Q464" i="7"/>
  <c r="P464" i="7"/>
  <c r="F464" i="7"/>
  <c r="D464" i="7"/>
  <c r="B464" i="7"/>
  <c r="Q463" i="7"/>
  <c r="P463" i="7"/>
  <c r="F463" i="7"/>
  <c r="D463" i="7"/>
  <c r="B463" i="7"/>
  <c r="Q462" i="7"/>
  <c r="P462" i="7"/>
  <c r="F462" i="7"/>
  <c r="D462" i="7"/>
  <c r="B462" i="7"/>
  <c r="Q461" i="7"/>
  <c r="P461" i="7"/>
  <c r="F461" i="7"/>
  <c r="D461" i="7"/>
  <c r="B461" i="7"/>
  <c r="Q460" i="7"/>
  <c r="P460" i="7"/>
  <c r="F460" i="7"/>
  <c r="D460" i="7"/>
  <c r="B460" i="7"/>
  <c r="Q459" i="7"/>
  <c r="P459" i="7"/>
  <c r="F459" i="7"/>
  <c r="D459" i="7"/>
  <c r="B459" i="7"/>
  <c r="Q458" i="7"/>
  <c r="P458" i="7"/>
  <c r="F458" i="7"/>
  <c r="D458" i="7"/>
  <c r="B458" i="7"/>
  <c r="Q457" i="7"/>
  <c r="P457" i="7"/>
  <c r="F457" i="7"/>
  <c r="D457" i="7"/>
  <c r="B457" i="7"/>
  <c r="Q456" i="7"/>
  <c r="P456" i="7"/>
  <c r="F456" i="7"/>
  <c r="D456" i="7"/>
  <c r="B456" i="7"/>
  <c r="Q455" i="7"/>
  <c r="P455" i="7"/>
  <c r="F455" i="7"/>
  <c r="D455" i="7"/>
  <c r="B455" i="7"/>
  <c r="Q454" i="7"/>
  <c r="P454" i="7"/>
  <c r="F454" i="7"/>
  <c r="D454" i="7"/>
  <c r="B454" i="7"/>
  <c r="Q453" i="7"/>
  <c r="P453" i="7"/>
  <c r="F453" i="7"/>
  <c r="D453" i="7"/>
  <c r="B453" i="7"/>
  <c r="Q452" i="7"/>
  <c r="P452" i="7"/>
  <c r="F452" i="7"/>
  <c r="D452" i="7"/>
  <c r="B452" i="7"/>
  <c r="Q451" i="7"/>
  <c r="P451" i="7"/>
  <c r="F451" i="7"/>
  <c r="D451" i="7"/>
  <c r="B451" i="7"/>
  <c r="Q450" i="7"/>
  <c r="P450" i="7"/>
  <c r="F450" i="7"/>
  <c r="D450" i="7"/>
  <c r="B450" i="7"/>
  <c r="Q449" i="7"/>
  <c r="P449" i="7"/>
  <c r="F449" i="7"/>
  <c r="D449" i="7"/>
  <c r="B449" i="7"/>
  <c r="Q448" i="7"/>
  <c r="P448" i="7"/>
  <c r="F448" i="7"/>
  <c r="D448" i="7"/>
  <c r="B448" i="7"/>
  <c r="Q447" i="7"/>
  <c r="P447" i="7"/>
  <c r="F447" i="7"/>
  <c r="D447" i="7"/>
  <c r="B447" i="7"/>
  <c r="Q446" i="7"/>
  <c r="P446" i="7"/>
  <c r="F446" i="7"/>
  <c r="D446" i="7"/>
  <c r="B446" i="7"/>
  <c r="Q445" i="7"/>
  <c r="P445" i="7"/>
  <c r="F445" i="7"/>
  <c r="D445" i="7"/>
  <c r="B445" i="7"/>
  <c r="Q444" i="7"/>
  <c r="P444" i="7"/>
  <c r="F444" i="7"/>
  <c r="D444" i="7"/>
  <c r="B444" i="7"/>
  <c r="Q443" i="7"/>
  <c r="P443" i="7"/>
  <c r="F443" i="7"/>
  <c r="D443" i="7"/>
  <c r="B443" i="7"/>
  <c r="Q442" i="7"/>
  <c r="P442" i="7"/>
  <c r="F442" i="7"/>
  <c r="D442" i="7"/>
  <c r="B442" i="7"/>
  <c r="Q441" i="7"/>
  <c r="P441" i="7"/>
  <c r="F441" i="7"/>
  <c r="D441" i="7"/>
  <c r="B441" i="7"/>
  <c r="Q440" i="7"/>
  <c r="P440" i="7"/>
  <c r="F440" i="7"/>
  <c r="D440" i="7"/>
  <c r="B440" i="7"/>
  <c r="Q439" i="7"/>
  <c r="P439" i="7"/>
  <c r="F439" i="7"/>
  <c r="D439" i="7"/>
  <c r="B439" i="7"/>
  <c r="Q438" i="7"/>
  <c r="P438" i="7"/>
  <c r="F438" i="7"/>
  <c r="D438" i="7"/>
  <c r="B438" i="7"/>
  <c r="Q437" i="7"/>
  <c r="P437" i="7"/>
  <c r="F437" i="7"/>
  <c r="D437" i="7"/>
  <c r="B437" i="7"/>
  <c r="Q436" i="7"/>
  <c r="P436" i="7"/>
  <c r="F436" i="7"/>
  <c r="D436" i="7"/>
  <c r="B436" i="7"/>
  <c r="Q435" i="7"/>
  <c r="P435" i="7"/>
  <c r="F435" i="7"/>
  <c r="D435" i="7"/>
  <c r="B435" i="7"/>
  <c r="Q434" i="7"/>
  <c r="P434" i="7"/>
  <c r="F434" i="7"/>
  <c r="D434" i="7"/>
  <c r="B434" i="7"/>
  <c r="Q433" i="7"/>
  <c r="P433" i="7"/>
  <c r="F433" i="7"/>
  <c r="D433" i="7"/>
  <c r="B433" i="7"/>
  <c r="Q432" i="7"/>
  <c r="P432" i="7"/>
  <c r="F432" i="7"/>
  <c r="D432" i="7"/>
  <c r="B432" i="7"/>
  <c r="Q431" i="7"/>
  <c r="P431" i="7"/>
  <c r="F431" i="7"/>
  <c r="D431" i="7"/>
  <c r="B431" i="7"/>
  <c r="Q430" i="7"/>
  <c r="P430" i="7"/>
  <c r="F430" i="7"/>
  <c r="D430" i="7"/>
  <c r="B430" i="7"/>
  <c r="Q429" i="7"/>
  <c r="P429" i="7"/>
  <c r="F429" i="7"/>
  <c r="D429" i="7"/>
  <c r="B429" i="7"/>
  <c r="Q428" i="7"/>
  <c r="P428" i="7"/>
  <c r="F428" i="7"/>
  <c r="D428" i="7"/>
  <c r="B428" i="7"/>
  <c r="Q427" i="7"/>
  <c r="P427" i="7"/>
  <c r="F427" i="7"/>
  <c r="D427" i="7"/>
  <c r="B427" i="7"/>
  <c r="Q426" i="7"/>
  <c r="P426" i="7"/>
  <c r="F426" i="7"/>
  <c r="D426" i="7"/>
  <c r="B426" i="7"/>
  <c r="Q425" i="7"/>
  <c r="P425" i="7"/>
  <c r="F425" i="7"/>
  <c r="D425" i="7"/>
  <c r="B425" i="7"/>
  <c r="Q424" i="7"/>
  <c r="P424" i="7"/>
  <c r="F424" i="7"/>
  <c r="D424" i="7"/>
  <c r="B424" i="7"/>
  <c r="Q423" i="7"/>
  <c r="P423" i="7"/>
  <c r="F423" i="7"/>
  <c r="D423" i="7"/>
  <c r="B423" i="7"/>
  <c r="Q422" i="7"/>
  <c r="P422" i="7"/>
  <c r="F422" i="7"/>
  <c r="D422" i="7"/>
  <c r="B422" i="7"/>
  <c r="Q421" i="7"/>
  <c r="P421" i="7"/>
  <c r="F421" i="7"/>
  <c r="D421" i="7"/>
  <c r="B421" i="7"/>
  <c r="Q420" i="7"/>
  <c r="P420" i="7"/>
  <c r="F420" i="7"/>
  <c r="D420" i="7"/>
  <c r="B420" i="7"/>
  <c r="Q419" i="7"/>
  <c r="P419" i="7"/>
  <c r="F419" i="7"/>
  <c r="D419" i="7"/>
  <c r="B419" i="7"/>
  <c r="Q418" i="7"/>
  <c r="P418" i="7"/>
  <c r="F418" i="7"/>
  <c r="D418" i="7"/>
  <c r="B418" i="7"/>
  <c r="Q417" i="7"/>
  <c r="P417" i="7"/>
  <c r="F417" i="7"/>
  <c r="D417" i="7"/>
  <c r="B417" i="7"/>
  <c r="Q416" i="7"/>
  <c r="P416" i="7"/>
  <c r="F416" i="7"/>
  <c r="D416" i="7"/>
  <c r="B416" i="7"/>
  <c r="Q415" i="7"/>
  <c r="P415" i="7"/>
  <c r="F415" i="7"/>
  <c r="D415" i="7"/>
  <c r="B415" i="7"/>
  <c r="Q414" i="7"/>
  <c r="P414" i="7"/>
  <c r="F414" i="7"/>
  <c r="D414" i="7"/>
  <c r="B414" i="7"/>
  <c r="Q413" i="7"/>
  <c r="P413" i="7"/>
  <c r="F413" i="7"/>
  <c r="D413" i="7"/>
  <c r="B413" i="7"/>
  <c r="Q412" i="7"/>
  <c r="P412" i="7"/>
  <c r="F412" i="7"/>
  <c r="D412" i="7"/>
  <c r="B412" i="7"/>
  <c r="Q411" i="7"/>
  <c r="P411" i="7"/>
  <c r="F411" i="7"/>
  <c r="D411" i="7"/>
  <c r="B411" i="7"/>
  <c r="Q410" i="7"/>
  <c r="P410" i="7"/>
  <c r="F410" i="7"/>
  <c r="D410" i="7"/>
  <c r="B410" i="7"/>
  <c r="Q409" i="7"/>
  <c r="P409" i="7"/>
  <c r="F409" i="7"/>
  <c r="D409" i="7"/>
  <c r="B409" i="7"/>
  <c r="Q408" i="7"/>
  <c r="P408" i="7"/>
  <c r="F408" i="7"/>
  <c r="D408" i="7"/>
  <c r="B408" i="7"/>
  <c r="Q407" i="7"/>
  <c r="P407" i="7"/>
  <c r="F407" i="7"/>
  <c r="D407" i="7"/>
  <c r="B407" i="7"/>
  <c r="Q406" i="7"/>
  <c r="P406" i="7"/>
  <c r="F406" i="7"/>
  <c r="D406" i="7"/>
  <c r="B406" i="7"/>
  <c r="Q405" i="7"/>
  <c r="P405" i="7"/>
  <c r="F405" i="7"/>
  <c r="D405" i="7"/>
  <c r="B405" i="7"/>
  <c r="Q404" i="7"/>
  <c r="P404" i="7"/>
  <c r="F404" i="7"/>
  <c r="D404" i="7"/>
  <c r="B404" i="7"/>
  <c r="Q403" i="7"/>
  <c r="P403" i="7"/>
  <c r="F403" i="7"/>
  <c r="D403" i="7"/>
  <c r="B403" i="7"/>
  <c r="Q402" i="7"/>
  <c r="P402" i="7"/>
  <c r="F402" i="7"/>
  <c r="D402" i="7"/>
  <c r="B402" i="7"/>
  <c r="Q401" i="7"/>
  <c r="P401" i="7"/>
  <c r="F401" i="7"/>
  <c r="D401" i="7"/>
  <c r="B401" i="7"/>
  <c r="Q400" i="7"/>
  <c r="P400" i="7"/>
  <c r="F400" i="7"/>
  <c r="D400" i="7"/>
  <c r="B400" i="7"/>
  <c r="Q399" i="7"/>
  <c r="P399" i="7"/>
  <c r="F399" i="7"/>
  <c r="D399" i="7"/>
  <c r="B399" i="7"/>
  <c r="Q398" i="7"/>
  <c r="P398" i="7"/>
  <c r="F398" i="7"/>
  <c r="D398" i="7"/>
  <c r="B398" i="7"/>
  <c r="Q397" i="7"/>
  <c r="P397" i="7"/>
  <c r="F397" i="7"/>
  <c r="D397" i="7"/>
  <c r="B397" i="7"/>
  <c r="Q396" i="7"/>
  <c r="P396" i="7"/>
  <c r="F396" i="7"/>
  <c r="D396" i="7"/>
  <c r="B396" i="7"/>
  <c r="Q395" i="7"/>
  <c r="P395" i="7"/>
  <c r="F395" i="7"/>
  <c r="D395" i="7"/>
  <c r="B395" i="7"/>
  <c r="Q394" i="7"/>
  <c r="P394" i="7"/>
  <c r="F394" i="7"/>
  <c r="D394" i="7"/>
  <c r="B394" i="7"/>
  <c r="Q393" i="7"/>
  <c r="P393" i="7"/>
  <c r="F393" i="7"/>
  <c r="D393" i="7"/>
  <c r="B393" i="7"/>
  <c r="Q392" i="7"/>
  <c r="P392" i="7"/>
  <c r="F392" i="7"/>
  <c r="D392" i="7"/>
  <c r="B392" i="7"/>
  <c r="Q391" i="7"/>
  <c r="P391" i="7"/>
  <c r="F391" i="7"/>
  <c r="D391" i="7"/>
  <c r="B391" i="7"/>
  <c r="Q390" i="7"/>
  <c r="P390" i="7"/>
  <c r="F390" i="7"/>
  <c r="D390" i="7"/>
  <c r="B390" i="7"/>
  <c r="Q389" i="7"/>
  <c r="P389" i="7"/>
  <c r="F389" i="7"/>
  <c r="D389" i="7"/>
  <c r="B389" i="7"/>
  <c r="Q388" i="7"/>
  <c r="P388" i="7"/>
  <c r="F388" i="7"/>
  <c r="D388" i="7"/>
  <c r="B388" i="7"/>
  <c r="Q387" i="7"/>
  <c r="P387" i="7"/>
  <c r="F387" i="7"/>
  <c r="D387" i="7"/>
  <c r="B387" i="7"/>
  <c r="Q386" i="7"/>
  <c r="P386" i="7"/>
  <c r="F386" i="7"/>
  <c r="D386" i="7"/>
  <c r="B386" i="7"/>
  <c r="Q385" i="7"/>
  <c r="P385" i="7"/>
  <c r="F385" i="7"/>
  <c r="D385" i="7"/>
  <c r="B385" i="7"/>
  <c r="Q384" i="7"/>
  <c r="P384" i="7"/>
  <c r="F384" i="7"/>
  <c r="D384" i="7"/>
  <c r="B384" i="7"/>
  <c r="Q383" i="7"/>
  <c r="P383" i="7"/>
  <c r="F383" i="7"/>
  <c r="D383" i="7"/>
  <c r="B383" i="7"/>
  <c r="Q382" i="7"/>
  <c r="P382" i="7"/>
  <c r="F382" i="7"/>
  <c r="D382" i="7"/>
  <c r="B382" i="7"/>
  <c r="Q381" i="7"/>
  <c r="P381" i="7"/>
  <c r="F381" i="7"/>
  <c r="D381" i="7"/>
  <c r="B381" i="7"/>
  <c r="Q380" i="7"/>
  <c r="P380" i="7"/>
  <c r="F380" i="7"/>
  <c r="D380" i="7"/>
  <c r="B380" i="7"/>
  <c r="Q379" i="7"/>
  <c r="P379" i="7"/>
  <c r="F379" i="7"/>
  <c r="D379" i="7"/>
  <c r="B379" i="7"/>
  <c r="Q378" i="7"/>
  <c r="P378" i="7"/>
  <c r="F378" i="7"/>
  <c r="D378" i="7"/>
  <c r="B378" i="7"/>
  <c r="Q377" i="7"/>
  <c r="P377" i="7"/>
  <c r="F377" i="7"/>
  <c r="D377" i="7"/>
  <c r="B377" i="7"/>
  <c r="Q376" i="7"/>
  <c r="P376" i="7"/>
  <c r="F376" i="7"/>
  <c r="D376" i="7"/>
  <c r="B376" i="7"/>
  <c r="Q375" i="7"/>
  <c r="P375" i="7"/>
  <c r="F375" i="7"/>
  <c r="D375" i="7"/>
  <c r="B375" i="7"/>
  <c r="Q374" i="7"/>
  <c r="P374" i="7"/>
  <c r="F374" i="7"/>
  <c r="D374" i="7"/>
  <c r="B374" i="7"/>
  <c r="Q373" i="7"/>
  <c r="P373" i="7"/>
  <c r="F373" i="7"/>
  <c r="D373" i="7"/>
  <c r="B373" i="7"/>
  <c r="Q372" i="7"/>
  <c r="P372" i="7"/>
  <c r="F372" i="7"/>
  <c r="D372" i="7"/>
  <c r="B372" i="7"/>
  <c r="Q371" i="7"/>
  <c r="P371" i="7"/>
  <c r="F371" i="7"/>
  <c r="D371" i="7"/>
  <c r="B371" i="7"/>
  <c r="Q370" i="7"/>
  <c r="P370" i="7"/>
  <c r="F370" i="7"/>
  <c r="D370" i="7"/>
  <c r="B370" i="7"/>
  <c r="Q369" i="7"/>
  <c r="P369" i="7"/>
  <c r="F369" i="7"/>
  <c r="D369" i="7"/>
  <c r="B369" i="7"/>
  <c r="Q368" i="7"/>
  <c r="P368" i="7"/>
  <c r="F368" i="7"/>
  <c r="D368" i="7"/>
  <c r="B368" i="7"/>
  <c r="Q367" i="7"/>
  <c r="P367" i="7"/>
  <c r="F367" i="7"/>
  <c r="D367" i="7"/>
  <c r="B367" i="7"/>
  <c r="Q366" i="7"/>
  <c r="P366" i="7"/>
  <c r="F366" i="7"/>
  <c r="D366" i="7"/>
  <c r="B366" i="7"/>
  <c r="Q365" i="7"/>
  <c r="P365" i="7"/>
  <c r="F365" i="7"/>
  <c r="D365" i="7"/>
  <c r="B365" i="7"/>
  <c r="Q364" i="7"/>
  <c r="P364" i="7"/>
  <c r="F364" i="7"/>
  <c r="D364" i="7"/>
  <c r="B364" i="7"/>
  <c r="Q363" i="7"/>
  <c r="P363" i="7"/>
  <c r="F363" i="7"/>
  <c r="D363" i="7"/>
  <c r="B363" i="7"/>
  <c r="Q362" i="7"/>
  <c r="P362" i="7"/>
  <c r="F362" i="7"/>
  <c r="D362" i="7"/>
  <c r="B362" i="7"/>
  <c r="Q361" i="7"/>
  <c r="P361" i="7"/>
  <c r="F361" i="7"/>
  <c r="D361" i="7"/>
  <c r="B361" i="7"/>
  <c r="Q360" i="7"/>
  <c r="P360" i="7"/>
  <c r="F360" i="7"/>
  <c r="D360" i="7"/>
  <c r="B360" i="7"/>
  <c r="Q359" i="7"/>
  <c r="P359" i="7"/>
  <c r="F359" i="7"/>
  <c r="D359" i="7"/>
  <c r="B359" i="7"/>
  <c r="Q358" i="7"/>
  <c r="P358" i="7"/>
  <c r="F358" i="7"/>
  <c r="D358" i="7"/>
  <c r="B358" i="7"/>
  <c r="Q357" i="7"/>
  <c r="P357" i="7"/>
  <c r="F357" i="7"/>
  <c r="D357" i="7"/>
  <c r="B357" i="7"/>
  <c r="Q356" i="7"/>
  <c r="P356" i="7"/>
  <c r="F356" i="7"/>
  <c r="D356" i="7"/>
  <c r="B356" i="7"/>
  <c r="Q355" i="7"/>
  <c r="P355" i="7"/>
  <c r="F355" i="7"/>
  <c r="D355" i="7"/>
  <c r="B355" i="7"/>
  <c r="Q354" i="7"/>
  <c r="P354" i="7"/>
  <c r="F354" i="7"/>
  <c r="D354" i="7"/>
  <c r="B354" i="7"/>
  <c r="Q353" i="7"/>
  <c r="P353" i="7"/>
  <c r="F353" i="7"/>
  <c r="D353" i="7"/>
  <c r="B353" i="7"/>
  <c r="Q352" i="7"/>
  <c r="P352" i="7"/>
  <c r="F352" i="7"/>
  <c r="D352" i="7"/>
  <c r="B352" i="7"/>
  <c r="Q351" i="7"/>
  <c r="P351" i="7"/>
  <c r="F351" i="7"/>
  <c r="D351" i="7"/>
  <c r="B351" i="7"/>
  <c r="Q350" i="7"/>
  <c r="P350" i="7"/>
  <c r="F350" i="7"/>
  <c r="D350" i="7"/>
  <c r="B350" i="7"/>
  <c r="Q349" i="7"/>
  <c r="P349" i="7"/>
  <c r="F349" i="7"/>
  <c r="D349" i="7"/>
  <c r="B349" i="7"/>
  <c r="Q348" i="7"/>
  <c r="P348" i="7"/>
  <c r="F348" i="7"/>
  <c r="D348" i="7"/>
  <c r="B348" i="7"/>
  <c r="Q347" i="7"/>
  <c r="P347" i="7"/>
  <c r="F347" i="7"/>
  <c r="D347" i="7"/>
  <c r="B347" i="7"/>
  <c r="Q346" i="7"/>
  <c r="P346" i="7"/>
  <c r="F346" i="7"/>
  <c r="D346" i="7"/>
  <c r="B346" i="7"/>
  <c r="Q345" i="7"/>
  <c r="P345" i="7"/>
  <c r="F345" i="7"/>
  <c r="D345" i="7"/>
  <c r="B345" i="7"/>
  <c r="Q344" i="7"/>
  <c r="P344" i="7"/>
  <c r="F344" i="7"/>
  <c r="D344" i="7"/>
  <c r="B344" i="7"/>
  <c r="Q343" i="7"/>
  <c r="P343" i="7"/>
  <c r="F343" i="7"/>
  <c r="D343" i="7"/>
  <c r="B343" i="7"/>
  <c r="Q342" i="7"/>
  <c r="P342" i="7"/>
  <c r="F342" i="7"/>
  <c r="D342" i="7"/>
  <c r="B342" i="7"/>
  <c r="Q341" i="7"/>
  <c r="P341" i="7"/>
  <c r="F341" i="7"/>
  <c r="D341" i="7"/>
  <c r="B341" i="7"/>
  <c r="Q340" i="7"/>
  <c r="P340" i="7"/>
  <c r="F340" i="7"/>
  <c r="D340" i="7"/>
  <c r="B340" i="7"/>
  <c r="Q339" i="7"/>
  <c r="P339" i="7"/>
  <c r="F339" i="7"/>
  <c r="D339" i="7"/>
  <c r="B339" i="7"/>
  <c r="Q338" i="7"/>
  <c r="P338" i="7"/>
  <c r="F338" i="7"/>
  <c r="D338" i="7"/>
  <c r="B338" i="7"/>
  <c r="Q337" i="7"/>
  <c r="P337" i="7"/>
  <c r="F337" i="7"/>
  <c r="D337" i="7"/>
  <c r="B337" i="7"/>
  <c r="Q336" i="7"/>
  <c r="P336" i="7"/>
  <c r="F336" i="7"/>
  <c r="D336" i="7"/>
  <c r="B336" i="7"/>
  <c r="Q335" i="7"/>
  <c r="P335" i="7"/>
  <c r="F335" i="7"/>
  <c r="D335" i="7"/>
  <c r="B335" i="7"/>
  <c r="Q334" i="7"/>
  <c r="P334" i="7"/>
  <c r="F334" i="7"/>
  <c r="D334" i="7"/>
  <c r="B334" i="7"/>
  <c r="Q333" i="7"/>
  <c r="P333" i="7"/>
  <c r="F333" i="7"/>
  <c r="D333" i="7"/>
  <c r="B333" i="7"/>
  <c r="Q332" i="7"/>
  <c r="P332" i="7"/>
  <c r="F332" i="7"/>
  <c r="D332" i="7"/>
  <c r="B332" i="7"/>
  <c r="Q331" i="7"/>
  <c r="P331" i="7"/>
  <c r="F331" i="7"/>
  <c r="D331" i="7"/>
  <c r="B331" i="7"/>
  <c r="Q330" i="7"/>
  <c r="P330" i="7"/>
  <c r="F330" i="7"/>
  <c r="D330" i="7"/>
  <c r="B330" i="7"/>
  <c r="Q329" i="7"/>
  <c r="P329" i="7"/>
  <c r="F329" i="7"/>
  <c r="D329" i="7"/>
  <c r="B329" i="7"/>
  <c r="Q328" i="7"/>
  <c r="P328" i="7"/>
  <c r="F328" i="7"/>
  <c r="D328" i="7"/>
  <c r="B328" i="7"/>
  <c r="Q327" i="7"/>
  <c r="P327" i="7"/>
  <c r="F327" i="7"/>
  <c r="D327" i="7"/>
  <c r="B327" i="7"/>
  <c r="Q326" i="7"/>
  <c r="P326" i="7"/>
  <c r="F326" i="7"/>
  <c r="D326" i="7"/>
  <c r="B326" i="7"/>
  <c r="Q325" i="7"/>
  <c r="P325" i="7"/>
  <c r="F325" i="7"/>
  <c r="D325" i="7"/>
  <c r="B325" i="7"/>
  <c r="Q324" i="7"/>
  <c r="P324" i="7"/>
  <c r="F324" i="7"/>
  <c r="D324" i="7"/>
  <c r="B324" i="7"/>
  <c r="Q323" i="7"/>
  <c r="P323" i="7"/>
  <c r="F323" i="7"/>
  <c r="D323" i="7"/>
  <c r="B323" i="7"/>
  <c r="Q322" i="7"/>
  <c r="P322" i="7"/>
  <c r="F322" i="7"/>
  <c r="D322" i="7"/>
  <c r="B322" i="7"/>
  <c r="Q321" i="7"/>
  <c r="P321" i="7"/>
  <c r="F321" i="7"/>
  <c r="D321" i="7"/>
  <c r="B321" i="7"/>
  <c r="Q320" i="7"/>
  <c r="P320" i="7"/>
  <c r="F320" i="7"/>
  <c r="D320" i="7"/>
  <c r="B320" i="7"/>
  <c r="Q319" i="7"/>
  <c r="P319" i="7"/>
  <c r="F319" i="7"/>
  <c r="D319" i="7"/>
  <c r="B319" i="7"/>
  <c r="Q318" i="7"/>
  <c r="P318" i="7"/>
  <c r="F318" i="7"/>
  <c r="D318" i="7"/>
  <c r="B318" i="7"/>
  <c r="Q317" i="7"/>
  <c r="P317" i="7"/>
  <c r="F317" i="7"/>
  <c r="D317" i="7"/>
  <c r="B317" i="7"/>
  <c r="Q316" i="7"/>
  <c r="P316" i="7"/>
  <c r="F316" i="7"/>
  <c r="D316" i="7"/>
  <c r="B316" i="7"/>
  <c r="Q315" i="7"/>
  <c r="P315" i="7"/>
  <c r="F315" i="7"/>
  <c r="D315" i="7"/>
  <c r="B315" i="7"/>
  <c r="Q314" i="7"/>
  <c r="P314" i="7"/>
  <c r="F314" i="7"/>
  <c r="D314" i="7"/>
  <c r="B314" i="7"/>
  <c r="Q313" i="7"/>
  <c r="P313" i="7"/>
  <c r="F313" i="7"/>
  <c r="D313" i="7"/>
  <c r="B313" i="7"/>
  <c r="Q312" i="7"/>
  <c r="P312" i="7"/>
  <c r="F312" i="7"/>
  <c r="D312" i="7"/>
  <c r="B312" i="7"/>
  <c r="Q311" i="7"/>
  <c r="P311" i="7"/>
  <c r="F311" i="7"/>
  <c r="D311" i="7"/>
  <c r="B311" i="7"/>
  <c r="Q310" i="7"/>
  <c r="P310" i="7"/>
  <c r="F310" i="7"/>
  <c r="D310" i="7"/>
  <c r="B310" i="7"/>
  <c r="Q309" i="7"/>
  <c r="P309" i="7"/>
  <c r="F309" i="7"/>
  <c r="D309" i="7"/>
  <c r="B309" i="7"/>
  <c r="Q308" i="7"/>
  <c r="P308" i="7"/>
  <c r="F308" i="7"/>
  <c r="D308" i="7"/>
  <c r="B308" i="7"/>
  <c r="Q307" i="7"/>
  <c r="P307" i="7"/>
  <c r="F307" i="7"/>
  <c r="D307" i="7"/>
  <c r="B307" i="7"/>
  <c r="Q306" i="7"/>
  <c r="P306" i="7"/>
  <c r="F306" i="7"/>
  <c r="D306" i="7"/>
  <c r="B306" i="7"/>
  <c r="Q305" i="7"/>
  <c r="P305" i="7"/>
  <c r="F305" i="7"/>
  <c r="D305" i="7"/>
  <c r="B305" i="7"/>
  <c r="Q304" i="7"/>
  <c r="P304" i="7"/>
  <c r="F304" i="7"/>
  <c r="D304" i="7"/>
  <c r="B304" i="7"/>
  <c r="Q303" i="7"/>
  <c r="P303" i="7"/>
  <c r="F303" i="7"/>
  <c r="D303" i="7"/>
  <c r="B303" i="7"/>
  <c r="Q302" i="7"/>
  <c r="P302" i="7"/>
  <c r="F302" i="7"/>
  <c r="D302" i="7"/>
  <c r="B302" i="7"/>
  <c r="Q301" i="7"/>
  <c r="P301" i="7"/>
  <c r="F301" i="7"/>
  <c r="D301" i="7"/>
  <c r="B301" i="7"/>
  <c r="Q300" i="7"/>
  <c r="P300" i="7"/>
  <c r="F300" i="7"/>
  <c r="D300" i="7"/>
  <c r="B300" i="7"/>
  <c r="Q299" i="7"/>
  <c r="P299" i="7"/>
  <c r="F299" i="7"/>
  <c r="D299" i="7"/>
  <c r="B299" i="7"/>
  <c r="Q298" i="7"/>
  <c r="P298" i="7"/>
  <c r="F298" i="7"/>
  <c r="D298" i="7"/>
  <c r="B298" i="7"/>
  <c r="Q297" i="7"/>
  <c r="P297" i="7"/>
  <c r="F297" i="7"/>
  <c r="D297" i="7"/>
  <c r="B297" i="7"/>
  <c r="Q296" i="7"/>
  <c r="P296" i="7"/>
  <c r="F296" i="7"/>
  <c r="D296" i="7"/>
  <c r="B296" i="7"/>
  <c r="Q295" i="7"/>
  <c r="P295" i="7"/>
  <c r="F295" i="7"/>
  <c r="D295" i="7"/>
  <c r="B295" i="7"/>
  <c r="Q294" i="7"/>
  <c r="P294" i="7"/>
  <c r="F294" i="7"/>
  <c r="D294" i="7"/>
  <c r="B294" i="7"/>
  <c r="Q293" i="7"/>
  <c r="P293" i="7"/>
  <c r="F293" i="7"/>
  <c r="D293" i="7"/>
  <c r="B293" i="7"/>
  <c r="Q292" i="7"/>
  <c r="P292" i="7"/>
  <c r="F292" i="7"/>
  <c r="D292" i="7"/>
  <c r="B292" i="7"/>
  <c r="Q291" i="7"/>
  <c r="P291" i="7"/>
  <c r="F291" i="7"/>
  <c r="D291" i="7"/>
  <c r="B291" i="7"/>
  <c r="Q290" i="7"/>
  <c r="P290" i="7"/>
  <c r="F290" i="7"/>
  <c r="D290" i="7"/>
  <c r="B290" i="7"/>
  <c r="Q289" i="7"/>
  <c r="P289" i="7"/>
  <c r="F289" i="7"/>
  <c r="D289" i="7"/>
  <c r="B289" i="7"/>
  <c r="Q288" i="7"/>
  <c r="P288" i="7"/>
  <c r="F288" i="7"/>
  <c r="D288" i="7"/>
  <c r="B288" i="7"/>
  <c r="Q287" i="7"/>
  <c r="P287" i="7"/>
  <c r="F287" i="7"/>
  <c r="D287" i="7"/>
  <c r="B287" i="7"/>
  <c r="Q286" i="7"/>
  <c r="P286" i="7"/>
  <c r="F286" i="7"/>
  <c r="D286" i="7"/>
  <c r="B286" i="7"/>
  <c r="Q285" i="7"/>
  <c r="P285" i="7"/>
  <c r="F285" i="7"/>
  <c r="D285" i="7"/>
  <c r="B285" i="7"/>
  <c r="Q284" i="7"/>
  <c r="P284" i="7"/>
  <c r="F284" i="7"/>
  <c r="D284" i="7"/>
  <c r="B284" i="7"/>
  <c r="Q283" i="7"/>
  <c r="P283" i="7"/>
  <c r="F283" i="7"/>
  <c r="D283" i="7"/>
  <c r="B283" i="7"/>
  <c r="Q282" i="7"/>
  <c r="P282" i="7"/>
  <c r="F282" i="7"/>
  <c r="D282" i="7"/>
  <c r="B282" i="7"/>
  <c r="Q281" i="7"/>
  <c r="P281" i="7"/>
  <c r="F281" i="7"/>
  <c r="D281" i="7"/>
  <c r="B281" i="7"/>
  <c r="Q280" i="7"/>
  <c r="P280" i="7"/>
  <c r="F280" i="7"/>
  <c r="D280" i="7"/>
  <c r="B280" i="7"/>
  <c r="Q279" i="7"/>
  <c r="P279" i="7"/>
  <c r="F279" i="7"/>
  <c r="D279" i="7"/>
  <c r="B279" i="7"/>
  <c r="Q278" i="7"/>
  <c r="P278" i="7"/>
  <c r="F278" i="7"/>
  <c r="D278" i="7"/>
  <c r="B278" i="7"/>
  <c r="Q277" i="7"/>
  <c r="P277" i="7"/>
  <c r="F277" i="7"/>
  <c r="D277" i="7"/>
  <c r="B277" i="7"/>
  <c r="Q276" i="7"/>
  <c r="P276" i="7"/>
  <c r="F276" i="7"/>
  <c r="D276" i="7"/>
  <c r="B276" i="7"/>
  <c r="Q275" i="7"/>
  <c r="P275" i="7"/>
  <c r="F275" i="7"/>
  <c r="D275" i="7"/>
  <c r="B275" i="7"/>
  <c r="Q274" i="7"/>
  <c r="P274" i="7"/>
  <c r="F274" i="7"/>
  <c r="D274" i="7"/>
  <c r="B274" i="7"/>
  <c r="Q273" i="7"/>
  <c r="P273" i="7"/>
  <c r="F273" i="7"/>
  <c r="D273" i="7"/>
  <c r="B273" i="7"/>
  <c r="Q272" i="7"/>
  <c r="P272" i="7"/>
  <c r="F272" i="7"/>
  <c r="D272" i="7"/>
  <c r="B272" i="7"/>
  <c r="Q271" i="7"/>
  <c r="P271" i="7"/>
  <c r="F271" i="7"/>
  <c r="D271" i="7"/>
  <c r="B271" i="7"/>
  <c r="Q270" i="7"/>
  <c r="P270" i="7"/>
  <c r="F270" i="7"/>
  <c r="D270" i="7"/>
  <c r="B270" i="7"/>
  <c r="Q269" i="7"/>
  <c r="P269" i="7"/>
  <c r="F269" i="7"/>
  <c r="D269" i="7"/>
  <c r="B269" i="7"/>
  <c r="Q268" i="7"/>
  <c r="P268" i="7"/>
  <c r="F268" i="7"/>
  <c r="D268" i="7"/>
  <c r="B268" i="7"/>
  <c r="Q267" i="7"/>
  <c r="P267" i="7"/>
  <c r="F267" i="7"/>
  <c r="D267" i="7"/>
  <c r="B267" i="7"/>
  <c r="Q266" i="7"/>
  <c r="P266" i="7"/>
  <c r="F266" i="7"/>
  <c r="D266" i="7"/>
  <c r="B266" i="7"/>
  <c r="Q265" i="7"/>
  <c r="P265" i="7"/>
  <c r="F265" i="7"/>
  <c r="D265" i="7"/>
  <c r="B265" i="7"/>
  <c r="Q264" i="7"/>
  <c r="P264" i="7"/>
  <c r="F264" i="7"/>
  <c r="D264" i="7"/>
  <c r="B264" i="7"/>
  <c r="Q263" i="7"/>
  <c r="P263" i="7"/>
  <c r="F263" i="7"/>
  <c r="D263" i="7"/>
  <c r="B263" i="7"/>
  <c r="Q262" i="7"/>
  <c r="P262" i="7"/>
  <c r="F262" i="7"/>
  <c r="D262" i="7"/>
  <c r="B262" i="7"/>
  <c r="Q261" i="7"/>
  <c r="P261" i="7"/>
  <c r="F261" i="7"/>
  <c r="D261" i="7"/>
  <c r="B261" i="7"/>
  <c r="Q260" i="7"/>
  <c r="P260" i="7"/>
  <c r="F260" i="7"/>
  <c r="D260" i="7"/>
  <c r="B260" i="7"/>
  <c r="Q259" i="7"/>
  <c r="P259" i="7"/>
  <c r="F259" i="7"/>
  <c r="D259" i="7"/>
  <c r="B259" i="7"/>
  <c r="Q258" i="7"/>
  <c r="P258" i="7"/>
  <c r="F258" i="7"/>
  <c r="D258" i="7"/>
  <c r="B258" i="7"/>
  <c r="Q257" i="7"/>
  <c r="P257" i="7"/>
  <c r="F257" i="7"/>
  <c r="D257" i="7"/>
  <c r="B257" i="7"/>
  <c r="Q256" i="7"/>
  <c r="P256" i="7"/>
  <c r="F256" i="7"/>
  <c r="D256" i="7"/>
  <c r="B256" i="7"/>
  <c r="Q255" i="7"/>
  <c r="P255" i="7"/>
  <c r="F255" i="7"/>
  <c r="D255" i="7"/>
  <c r="B255" i="7"/>
  <c r="Q254" i="7"/>
  <c r="P254" i="7"/>
  <c r="F254" i="7"/>
  <c r="D254" i="7"/>
  <c r="B254" i="7"/>
  <c r="Q253" i="7"/>
  <c r="P253" i="7"/>
  <c r="F253" i="7"/>
  <c r="D253" i="7"/>
  <c r="B253" i="7"/>
  <c r="Q252" i="7"/>
  <c r="P252" i="7"/>
  <c r="F252" i="7"/>
  <c r="D252" i="7"/>
  <c r="B252" i="7"/>
  <c r="Q251" i="7"/>
  <c r="P251" i="7"/>
  <c r="F251" i="7"/>
  <c r="D251" i="7"/>
  <c r="B251" i="7"/>
  <c r="Q250" i="7"/>
  <c r="P250" i="7"/>
  <c r="F250" i="7"/>
  <c r="D250" i="7"/>
  <c r="B250" i="7"/>
  <c r="Q249" i="7"/>
  <c r="P249" i="7"/>
  <c r="F249" i="7"/>
  <c r="D249" i="7"/>
  <c r="B249" i="7"/>
  <c r="Q248" i="7"/>
  <c r="P248" i="7"/>
  <c r="F248" i="7"/>
  <c r="D248" i="7"/>
  <c r="B248" i="7"/>
  <c r="Q247" i="7"/>
  <c r="P247" i="7"/>
  <c r="F247" i="7"/>
  <c r="D247" i="7"/>
  <c r="B247" i="7"/>
  <c r="Q246" i="7"/>
  <c r="P246" i="7"/>
  <c r="F246" i="7"/>
  <c r="D246" i="7"/>
  <c r="B246" i="7"/>
  <c r="Q245" i="7"/>
  <c r="P245" i="7"/>
  <c r="F245" i="7"/>
  <c r="D245" i="7"/>
  <c r="B245" i="7"/>
  <c r="Q244" i="7"/>
  <c r="P244" i="7"/>
  <c r="F244" i="7"/>
  <c r="D244" i="7"/>
  <c r="B244" i="7"/>
  <c r="Q243" i="7"/>
  <c r="P243" i="7"/>
  <c r="F243" i="7"/>
  <c r="D243" i="7"/>
  <c r="B243" i="7"/>
  <c r="Q242" i="7"/>
  <c r="P242" i="7"/>
  <c r="F242" i="7"/>
  <c r="D242" i="7"/>
  <c r="B242" i="7"/>
  <c r="Q241" i="7"/>
  <c r="P241" i="7"/>
  <c r="F241" i="7"/>
  <c r="D241" i="7"/>
  <c r="B241" i="7"/>
  <c r="Q240" i="7"/>
  <c r="P240" i="7"/>
  <c r="F240" i="7"/>
  <c r="D240" i="7"/>
  <c r="B240" i="7"/>
  <c r="Q239" i="7"/>
  <c r="P239" i="7"/>
  <c r="F239" i="7"/>
  <c r="D239" i="7"/>
  <c r="B239" i="7"/>
  <c r="Q238" i="7"/>
  <c r="P238" i="7"/>
  <c r="F238" i="7"/>
  <c r="D238" i="7"/>
  <c r="B238" i="7"/>
  <c r="Q237" i="7"/>
  <c r="P237" i="7"/>
  <c r="F237" i="7"/>
  <c r="D237" i="7"/>
  <c r="B237" i="7"/>
  <c r="Q236" i="7"/>
  <c r="P236" i="7"/>
  <c r="F236" i="7"/>
  <c r="D236" i="7"/>
  <c r="B236" i="7"/>
  <c r="Q235" i="7"/>
  <c r="P235" i="7"/>
  <c r="F235" i="7"/>
  <c r="D235" i="7"/>
  <c r="B235" i="7"/>
  <c r="Q234" i="7"/>
  <c r="P234" i="7"/>
  <c r="F234" i="7"/>
  <c r="D234" i="7"/>
  <c r="B234" i="7"/>
  <c r="Q233" i="7"/>
  <c r="P233" i="7"/>
  <c r="F233" i="7"/>
  <c r="D233" i="7"/>
  <c r="B233" i="7"/>
  <c r="Q232" i="7"/>
  <c r="P232" i="7"/>
  <c r="F232" i="7"/>
  <c r="D232" i="7"/>
  <c r="B232" i="7"/>
  <c r="Q231" i="7"/>
  <c r="P231" i="7"/>
  <c r="F231" i="7"/>
  <c r="D231" i="7"/>
  <c r="B231" i="7"/>
  <c r="Q230" i="7"/>
  <c r="P230" i="7"/>
  <c r="F230" i="7"/>
  <c r="D230" i="7"/>
  <c r="B230" i="7"/>
  <c r="Q229" i="7"/>
  <c r="P229" i="7"/>
  <c r="F229" i="7"/>
  <c r="D229" i="7"/>
  <c r="B229" i="7"/>
  <c r="Q228" i="7"/>
  <c r="P228" i="7"/>
  <c r="F228" i="7"/>
  <c r="D228" i="7"/>
  <c r="B228" i="7"/>
  <c r="Q227" i="7"/>
  <c r="P227" i="7"/>
  <c r="F227" i="7"/>
  <c r="D227" i="7"/>
  <c r="B227" i="7"/>
  <c r="Q226" i="7"/>
  <c r="P226" i="7"/>
  <c r="F226" i="7"/>
  <c r="D226" i="7"/>
  <c r="B226" i="7"/>
  <c r="Q225" i="7"/>
  <c r="P225" i="7"/>
  <c r="F225" i="7"/>
  <c r="D225" i="7"/>
  <c r="B225" i="7"/>
  <c r="Q224" i="7"/>
  <c r="P224" i="7"/>
  <c r="F224" i="7"/>
  <c r="D224" i="7"/>
  <c r="B224" i="7"/>
  <c r="Q223" i="7"/>
  <c r="P223" i="7"/>
  <c r="F223" i="7"/>
  <c r="D223" i="7"/>
  <c r="B223" i="7"/>
  <c r="Q222" i="7"/>
  <c r="P222" i="7"/>
  <c r="F222" i="7"/>
  <c r="D222" i="7"/>
  <c r="B222" i="7"/>
  <c r="Q221" i="7"/>
  <c r="P221" i="7"/>
  <c r="F221" i="7"/>
  <c r="D221" i="7"/>
  <c r="B221" i="7"/>
  <c r="Q220" i="7"/>
  <c r="P220" i="7"/>
  <c r="F220" i="7"/>
  <c r="D220" i="7"/>
  <c r="B220" i="7"/>
  <c r="Q219" i="7"/>
  <c r="P219" i="7"/>
  <c r="F219" i="7"/>
  <c r="D219" i="7"/>
  <c r="B219" i="7"/>
  <c r="Q218" i="7"/>
  <c r="P218" i="7"/>
  <c r="F218" i="7"/>
  <c r="D218" i="7"/>
  <c r="B218" i="7"/>
  <c r="Q217" i="7"/>
  <c r="P217" i="7"/>
  <c r="F217" i="7"/>
  <c r="D217" i="7"/>
  <c r="B217" i="7"/>
  <c r="Q216" i="7"/>
  <c r="P216" i="7"/>
  <c r="F216" i="7"/>
  <c r="D216" i="7"/>
  <c r="B216" i="7"/>
  <c r="Q215" i="7"/>
  <c r="P215" i="7"/>
  <c r="F215" i="7"/>
  <c r="D215" i="7"/>
  <c r="B215" i="7"/>
  <c r="Q214" i="7"/>
  <c r="P214" i="7"/>
  <c r="F214" i="7"/>
  <c r="D214" i="7"/>
  <c r="B214" i="7"/>
  <c r="Q213" i="7"/>
  <c r="P213" i="7"/>
  <c r="F213" i="7"/>
  <c r="D213" i="7"/>
  <c r="B213" i="7"/>
  <c r="Q212" i="7"/>
  <c r="P212" i="7"/>
  <c r="F212" i="7"/>
  <c r="D212" i="7"/>
  <c r="B212" i="7"/>
  <c r="Q211" i="7"/>
  <c r="P211" i="7"/>
  <c r="F211" i="7"/>
  <c r="D211" i="7"/>
  <c r="B211" i="7"/>
  <c r="Q210" i="7"/>
  <c r="P210" i="7"/>
  <c r="F210" i="7"/>
  <c r="D210" i="7"/>
  <c r="B210" i="7"/>
  <c r="Q209" i="7"/>
  <c r="P209" i="7"/>
  <c r="F209" i="7"/>
  <c r="D209" i="7"/>
  <c r="B209" i="7"/>
  <c r="Q208" i="7"/>
  <c r="P208" i="7"/>
  <c r="F208" i="7"/>
  <c r="D208" i="7"/>
  <c r="B208" i="7"/>
  <c r="Q207" i="7"/>
  <c r="P207" i="7"/>
  <c r="F207" i="7"/>
  <c r="D207" i="7"/>
  <c r="B207" i="7"/>
  <c r="Q206" i="7"/>
  <c r="P206" i="7"/>
  <c r="F206" i="7"/>
  <c r="D206" i="7"/>
  <c r="B206" i="7"/>
  <c r="Q205" i="7"/>
  <c r="P205" i="7"/>
  <c r="F205" i="7"/>
  <c r="D205" i="7"/>
  <c r="B205" i="7"/>
  <c r="Q204" i="7"/>
  <c r="P204" i="7"/>
  <c r="F204" i="7"/>
  <c r="D204" i="7"/>
  <c r="B204" i="7"/>
  <c r="Q203" i="7"/>
  <c r="P203" i="7"/>
  <c r="F203" i="7"/>
  <c r="D203" i="7"/>
  <c r="B203" i="7"/>
  <c r="Q202" i="7"/>
  <c r="P202" i="7"/>
  <c r="F202" i="7"/>
  <c r="D202" i="7"/>
  <c r="B202" i="7"/>
  <c r="Q201" i="7"/>
  <c r="P201" i="7"/>
  <c r="F201" i="7"/>
  <c r="D201" i="7"/>
  <c r="B201" i="7"/>
  <c r="Q200" i="7"/>
  <c r="P200" i="7"/>
  <c r="F200" i="7"/>
  <c r="D200" i="7"/>
  <c r="B200" i="7"/>
  <c r="Q199" i="7"/>
  <c r="P199" i="7"/>
  <c r="F199" i="7"/>
  <c r="D199" i="7"/>
  <c r="B199" i="7"/>
  <c r="Q198" i="7"/>
  <c r="P198" i="7"/>
  <c r="F198" i="7"/>
  <c r="D198" i="7"/>
  <c r="B198" i="7"/>
  <c r="Q197" i="7"/>
  <c r="P197" i="7"/>
  <c r="F197" i="7"/>
  <c r="D197" i="7"/>
  <c r="B197" i="7"/>
  <c r="Q196" i="7"/>
  <c r="P196" i="7"/>
  <c r="F196" i="7"/>
  <c r="D196" i="7"/>
  <c r="B196" i="7"/>
  <c r="Q195" i="7"/>
  <c r="P195" i="7"/>
  <c r="F195" i="7"/>
  <c r="D195" i="7"/>
  <c r="B195" i="7"/>
  <c r="Q194" i="7"/>
  <c r="P194" i="7"/>
  <c r="F194" i="7"/>
  <c r="D194" i="7"/>
  <c r="B194" i="7"/>
  <c r="Q193" i="7"/>
  <c r="P193" i="7"/>
  <c r="F193" i="7"/>
  <c r="D193" i="7"/>
  <c r="B193" i="7"/>
  <c r="Q192" i="7"/>
  <c r="P192" i="7"/>
  <c r="F192" i="7"/>
  <c r="D192" i="7"/>
  <c r="B192" i="7"/>
  <c r="Q191" i="7"/>
  <c r="P191" i="7"/>
  <c r="F191" i="7"/>
  <c r="D191" i="7"/>
  <c r="B191" i="7"/>
  <c r="Q190" i="7"/>
  <c r="P190" i="7"/>
  <c r="F190" i="7"/>
  <c r="D190" i="7"/>
  <c r="B190" i="7"/>
  <c r="Q189" i="7"/>
  <c r="P189" i="7"/>
  <c r="F189" i="7"/>
  <c r="D189" i="7"/>
  <c r="B189" i="7"/>
  <c r="Q188" i="7"/>
  <c r="P188" i="7"/>
  <c r="F188" i="7"/>
  <c r="D188" i="7"/>
  <c r="B188" i="7"/>
  <c r="Q187" i="7"/>
  <c r="P187" i="7"/>
  <c r="F187" i="7"/>
  <c r="D187" i="7"/>
  <c r="B187" i="7"/>
  <c r="Q186" i="7"/>
  <c r="P186" i="7"/>
  <c r="F186" i="7"/>
  <c r="D186" i="7"/>
  <c r="B186" i="7"/>
  <c r="Q185" i="7"/>
  <c r="P185" i="7"/>
  <c r="F185" i="7"/>
  <c r="D185" i="7"/>
  <c r="B185" i="7"/>
  <c r="Q184" i="7"/>
  <c r="P184" i="7"/>
  <c r="F184" i="7"/>
  <c r="D184" i="7"/>
  <c r="B184" i="7"/>
  <c r="Q183" i="7"/>
  <c r="P183" i="7"/>
  <c r="F183" i="7"/>
  <c r="D183" i="7"/>
  <c r="B183" i="7"/>
  <c r="Q182" i="7"/>
  <c r="P182" i="7"/>
  <c r="F182" i="7"/>
  <c r="D182" i="7"/>
  <c r="B182" i="7"/>
  <c r="Q181" i="7"/>
  <c r="P181" i="7"/>
  <c r="F181" i="7"/>
  <c r="D181" i="7"/>
  <c r="B181" i="7"/>
  <c r="Q180" i="7"/>
  <c r="P180" i="7"/>
  <c r="F180" i="7"/>
  <c r="D180" i="7"/>
  <c r="B180" i="7"/>
  <c r="Q179" i="7"/>
  <c r="P179" i="7"/>
  <c r="F179" i="7"/>
  <c r="D179" i="7"/>
  <c r="B179" i="7"/>
  <c r="Q178" i="7"/>
  <c r="P178" i="7"/>
  <c r="F178" i="7"/>
  <c r="D178" i="7"/>
  <c r="B178" i="7"/>
  <c r="Q177" i="7"/>
  <c r="P177" i="7"/>
  <c r="F177" i="7"/>
  <c r="D177" i="7"/>
  <c r="B177" i="7"/>
  <c r="Q176" i="7"/>
  <c r="P176" i="7"/>
  <c r="F176" i="7"/>
  <c r="D176" i="7"/>
  <c r="B176" i="7"/>
  <c r="Q175" i="7"/>
  <c r="P175" i="7"/>
  <c r="F175" i="7"/>
  <c r="D175" i="7"/>
  <c r="B175" i="7"/>
  <c r="Q174" i="7"/>
  <c r="P174" i="7"/>
  <c r="F174" i="7"/>
  <c r="D174" i="7"/>
  <c r="B174" i="7"/>
  <c r="Q173" i="7"/>
  <c r="P173" i="7"/>
  <c r="F173" i="7"/>
  <c r="D173" i="7"/>
  <c r="B173" i="7"/>
  <c r="Q172" i="7"/>
  <c r="P172" i="7"/>
  <c r="F172" i="7"/>
  <c r="D172" i="7"/>
  <c r="B172" i="7"/>
  <c r="Q171" i="7"/>
  <c r="P171" i="7"/>
  <c r="F171" i="7"/>
  <c r="D171" i="7"/>
  <c r="B171" i="7"/>
  <c r="Q170" i="7"/>
  <c r="P170" i="7"/>
  <c r="F170" i="7"/>
  <c r="D170" i="7"/>
  <c r="B170" i="7"/>
  <c r="Q169" i="7"/>
  <c r="P169" i="7"/>
  <c r="F169" i="7"/>
  <c r="D169" i="7"/>
  <c r="B169" i="7"/>
  <c r="Q168" i="7"/>
  <c r="P168" i="7"/>
  <c r="F168" i="7"/>
  <c r="D168" i="7"/>
  <c r="B168" i="7"/>
  <c r="Q167" i="7"/>
  <c r="P167" i="7"/>
  <c r="F167" i="7"/>
  <c r="D167" i="7"/>
  <c r="B167" i="7"/>
  <c r="Q166" i="7"/>
  <c r="P166" i="7"/>
  <c r="F166" i="7"/>
  <c r="D166" i="7"/>
  <c r="B166" i="7"/>
  <c r="Q165" i="7"/>
  <c r="P165" i="7"/>
  <c r="F165" i="7"/>
  <c r="D165" i="7"/>
  <c r="B165" i="7"/>
  <c r="Q164" i="7"/>
  <c r="P164" i="7"/>
  <c r="F164" i="7"/>
  <c r="D164" i="7"/>
  <c r="B164" i="7"/>
  <c r="Q163" i="7"/>
  <c r="P163" i="7"/>
  <c r="F163" i="7"/>
  <c r="D163" i="7"/>
  <c r="B163" i="7"/>
  <c r="Q162" i="7"/>
  <c r="P162" i="7"/>
  <c r="F162" i="7"/>
  <c r="D162" i="7"/>
  <c r="B162" i="7"/>
  <c r="Q161" i="7"/>
  <c r="P161" i="7"/>
  <c r="F161" i="7"/>
  <c r="D161" i="7"/>
  <c r="B161" i="7"/>
  <c r="Q160" i="7"/>
  <c r="P160" i="7"/>
  <c r="F160" i="7"/>
  <c r="D160" i="7"/>
  <c r="B160" i="7"/>
  <c r="Q159" i="7"/>
  <c r="P159" i="7"/>
  <c r="F159" i="7"/>
  <c r="D159" i="7"/>
  <c r="B159" i="7"/>
  <c r="Q158" i="7"/>
  <c r="P158" i="7"/>
  <c r="F158" i="7"/>
  <c r="D158" i="7"/>
  <c r="B158" i="7"/>
  <c r="Q157" i="7"/>
  <c r="P157" i="7"/>
  <c r="F157" i="7"/>
  <c r="D157" i="7"/>
  <c r="B157" i="7"/>
  <c r="Q156" i="7"/>
  <c r="P156" i="7"/>
  <c r="F156" i="7"/>
  <c r="D156" i="7"/>
  <c r="B156" i="7"/>
  <c r="Q155" i="7"/>
  <c r="P155" i="7"/>
  <c r="F155" i="7"/>
  <c r="D155" i="7"/>
  <c r="B155" i="7"/>
  <c r="Q154" i="7"/>
  <c r="P154" i="7"/>
  <c r="F154" i="7"/>
  <c r="D154" i="7"/>
  <c r="B154" i="7"/>
  <c r="Q153" i="7"/>
  <c r="P153" i="7"/>
  <c r="F153" i="7"/>
  <c r="D153" i="7"/>
  <c r="B153" i="7"/>
  <c r="Q152" i="7"/>
  <c r="P152" i="7"/>
  <c r="F152" i="7"/>
  <c r="D152" i="7"/>
  <c r="B152" i="7"/>
  <c r="Q151" i="7"/>
  <c r="P151" i="7"/>
  <c r="F151" i="7"/>
  <c r="D151" i="7"/>
  <c r="B151" i="7"/>
  <c r="Q150" i="7"/>
  <c r="P150" i="7"/>
  <c r="F150" i="7"/>
  <c r="D150" i="7"/>
  <c r="B150" i="7"/>
  <c r="Q149" i="7"/>
  <c r="P149" i="7"/>
  <c r="F149" i="7"/>
  <c r="D149" i="7"/>
  <c r="B149" i="7"/>
  <c r="Q148" i="7"/>
  <c r="P148" i="7"/>
  <c r="F148" i="7"/>
  <c r="D148" i="7"/>
  <c r="B148" i="7"/>
  <c r="Q147" i="7"/>
  <c r="P147" i="7"/>
  <c r="F147" i="7"/>
  <c r="D147" i="7"/>
  <c r="B147" i="7"/>
  <c r="Q146" i="7"/>
  <c r="P146" i="7"/>
  <c r="F146" i="7"/>
  <c r="D146" i="7"/>
  <c r="B146" i="7"/>
  <c r="Q145" i="7"/>
  <c r="P145" i="7"/>
  <c r="F145" i="7"/>
  <c r="D145" i="7"/>
  <c r="B145" i="7"/>
  <c r="Q144" i="7"/>
  <c r="P144" i="7"/>
  <c r="F144" i="7"/>
  <c r="D144" i="7"/>
  <c r="B144" i="7"/>
  <c r="Q143" i="7"/>
  <c r="P143" i="7"/>
  <c r="F143" i="7"/>
  <c r="D143" i="7"/>
  <c r="B143" i="7"/>
  <c r="Q142" i="7"/>
  <c r="P142" i="7"/>
  <c r="F142" i="7"/>
  <c r="D142" i="7"/>
  <c r="B142" i="7"/>
  <c r="Q141" i="7"/>
  <c r="P141" i="7"/>
  <c r="F141" i="7"/>
  <c r="D141" i="7"/>
  <c r="B141" i="7"/>
  <c r="Q140" i="7"/>
  <c r="P140" i="7"/>
  <c r="F140" i="7"/>
  <c r="D140" i="7"/>
  <c r="B140" i="7"/>
  <c r="Q139" i="7"/>
  <c r="P139" i="7"/>
  <c r="F139" i="7"/>
  <c r="D139" i="7"/>
  <c r="B139" i="7"/>
  <c r="Q138" i="7"/>
  <c r="P138" i="7"/>
  <c r="F138" i="7"/>
  <c r="D138" i="7"/>
  <c r="B138" i="7"/>
  <c r="Q137" i="7"/>
  <c r="P137" i="7"/>
  <c r="F137" i="7"/>
  <c r="D137" i="7"/>
  <c r="B137" i="7"/>
  <c r="Q136" i="7"/>
  <c r="P136" i="7"/>
  <c r="F136" i="7"/>
  <c r="D136" i="7"/>
  <c r="B136" i="7"/>
  <c r="Q135" i="7"/>
  <c r="P135" i="7"/>
  <c r="F135" i="7"/>
  <c r="D135" i="7"/>
  <c r="B135" i="7"/>
  <c r="Q134" i="7"/>
  <c r="P134" i="7"/>
  <c r="F134" i="7"/>
  <c r="D134" i="7"/>
  <c r="B134" i="7"/>
  <c r="Q133" i="7"/>
  <c r="P133" i="7"/>
  <c r="F133" i="7"/>
  <c r="D133" i="7"/>
  <c r="B133" i="7"/>
  <c r="Q132" i="7"/>
  <c r="P132" i="7"/>
  <c r="F132" i="7"/>
  <c r="D132" i="7"/>
  <c r="B132" i="7"/>
  <c r="Q131" i="7"/>
  <c r="P131" i="7"/>
  <c r="F131" i="7"/>
  <c r="D131" i="7"/>
  <c r="B131" i="7"/>
  <c r="Q130" i="7"/>
  <c r="P130" i="7"/>
  <c r="F130" i="7"/>
  <c r="D130" i="7"/>
  <c r="B130" i="7"/>
  <c r="Y129" i="7"/>
  <c r="X129" i="7"/>
  <c r="Q129" i="7"/>
  <c r="P129" i="7"/>
  <c r="F129" i="7"/>
  <c r="D129" i="7"/>
  <c r="B129" i="7"/>
  <c r="Y128" i="7"/>
  <c r="X128" i="7"/>
  <c r="Q128" i="7"/>
  <c r="P128" i="7"/>
  <c r="F128" i="7"/>
  <c r="D128" i="7"/>
  <c r="B128" i="7"/>
  <c r="Y127" i="7"/>
  <c r="X127" i="7"/>
  <c r="Q127" i="7"/>
  <c r="P127" i="7"/>
  <c r="F127" i="7"/>
  <c r="D127" i="7"/>
  <c r="B127" i="7"/>
  <c r="Y126" i="7"/>
  <c r="X126" i="7"/>
  <c r="Q126" i="7"/>
  <c r="P126" i="7"/>
  <c r="F126" i="7"/>
  <c r="D126" i="7"/>
  <c r="B126" i="7"/>
  <c r="Y125" i="7"/>
  <c r="X125" i="7"/>
  <c r="Q125" i="7"/>
  <c r="P125" i="7"/>
  <c r="F125" i="7"/>
  <c r="D125" i="7"/>
  <c r="B125" i="7"/>
  <c r="Y124" i="7"/>
  <c r="X124" i="7"/>
  <c r="Q124" i="7"/>
  <c r="P124" i="7"/>
  <c r="F124" i="7"/>
  <c r="D124" i="7"/>
  <c r="B124" i="7"/>
  <c r="Y123" i="7"/>
  <c r="X123" i="7"/>
  <c r="Q123" i="7"/>
  <c r="P123" i="7"/>
  <c r="F123" i="7"/>
  <c r="D123" i="7"/>
  <c r="B123" i="7"/>
  <c r="Y122" i="7"/>
  <c r="X122" i="7"/>
  <c r="Q122" i="7"/>
  <c r="P122" i="7"/>
  <c r="F122" i="7"/>
  <c r="D122" i="7"/>
  <c r="B122" i="7"/>
  <c r="Y121" i="7"/>
  <c r="X121" i="7"/>
  <c r="Q121" i="7"/>
  <c r="P121" i="7"/>
  <c r="F121" i="7"/>
  <c r="D121" i="7"/>
  <c r="B121" i="7"/>
  <c r="Y120" i="7"/>
  <c r="X120" i="7"/>
  <c r="Q120" i="7"/>
  <c r="P120" i="7"/>
  <c r="F120" i="7"/>
  <c r="D120" i="7"/>
  <c r="B120" i="7"/>
  <c r="Y119" i="7"/>
  <c r="X119" i="7"/>
  <c r="Q119" i="7"/>
  <c r="P119" i="7"/>
  <c r="F119" i="7"/>
  <c r="D119" i="7"/>
  <c r="B119" i="7"/>
  <c r="Y118" i="7"/>
  <c r="X118" i="7"/>
  <c r="Q118" i="7"/>
  <c r="P118" i="7"/>
  <c r="F118" i="7"/>
  <c r="D118" i="7"/>
  <c r="B118" i="7"/>
  <c r="Y117" i="7"/>
  <c r="X117" i="7"/>
  <c r="Q117" i="7"/>
  <c r="P117" i="7"/>
  <c r="F117" i="7"/>
  <c r="D117" i="7"/>
  <c r="B117" i="7"/>
  <c r="Y116" i="7"/>
  <c r="X116" i="7"/>
  <c r="Q116" i="7"/>
  <c r="P116" i="7"/>
  <c r="F116" i="7"/>
  <c r="D116" i="7"/>
  <c r="B116" i="7"/>
  <c r="Y115" i="7"/>
  <c r="X115" i="7"/>
  <c r="Q115" i="7"/>
  <c r="P115" i="7"/>
  <c r="F115" i="7"/>
  <c r="D115" i="7"/>
  <c r="B115" i="7"/>
  <c r="Y114" i="7"/>
  <c r="X114" i="7"/>
  <c r="Q114" i="7"/>
  <c r="P114" i="7"/>
  <c r="F114" i="7"/>
  <c r="D114" i="7"/>
  <c r="B114" i="7"/>
  <c r="Y113" i="7"/>
  <c r="X113" i="7"/>
  <c r="Q113" i="7"/>
  <c r="P113" i="7"/>
  <c r="F113" i="7"/>
  <c r="D113" i="7"/>
  <c r="B113" i="7"/>
  <c r="Y112" i="7"/>
  <c r="X112" i="7"/>
  <c r="Q112" i="7"/>
  <c r="P112" i="7"/>
  <c r="F112" i="7"/>
  <c r="D112" i="7"/>
  <c r="B112" i="7"/>
  <c r="Y111" i="7"/>
  <c r="X111" i="7"/>
  <c r="Q111" i="7"/>
  <c r="P111" i="7"/>
  <c r="F111" i="7"/>
  <c r="D111" i="7"/>
  <c r="B111" i="7"/>
  <c r="Y110" i="7"/>
  <c r="X110" i="7"/>
  <c r="Q110" i="7"/>
  <c r="P110" i="7"/>
  <c r="F110" i="7"/>
  <c r="D110" i="7"/>
  <c r="B110" i="7"/>
  <c r="Y109" i="7"/>
  <c r="X109" i="7"/>
  <c r="Q109" i="7"/>
  <c r="P109" i="7"/>
  <c r="F109" i="7"/>
  <c r="D109" i="7"/>
  <c r="B109" i="7"/>
  <c r="Y108" i="7"/>
  <c r="X108" i="7"/>
  <c r="Q108" i="7"/>
  <c r="P108" i="7"/>
  <c r="F108" i="7"/>
  <c r="D108" i="7"/>
  <c r="B108" i="7"/>
  <c r="Y107" i="7"/>
  <c r="X107" i="7"/>
  <c r="Q107" i="7"/>
  <c r="P107" i="7"/>
  <c r="F107" i="7"/>
  <c r="D107" i="7"/>
  <c r="B107" i="7"/>
  <c r="Y106" i="7"/>
  <c r="X106" i="7"/>
  <c r="Q106" i="7"/>
  <c r="P106" i="7"/>
  <c r="F106" i="7"/>
  <c r="D106" i="7"/>
  <c r="B106" i="7"/>
  <c r="Y105" i="7"/>
  <c r="X105" i="7"/>
  <c r="Q105" i="7"/>
  <c r="P105" i="7"/>
  <c r="F105" i="7"/>
  <c r="D105" i="7"/>
  <c r="B105" i="7"/>
  <c r="Y104" i="7"/>
  <c r="X104" i="7"/>
  <c r="Q104" i="7"/>
  <c r="P104" i="7"/>
  <c r="F104" i="7"/>
  <c r="D104" i="7"/>
  <c r="B104" i="7"/>
  <c r="Y103" i="7"/>
  <c r="X103" i="7"/>
  <c r="Q103" i="7"/>
  <c r="P103" i="7"/>
  <c r="F103" i="7"/>
  <c r="D103" i="7"/>
  <c r="B103" i="7"/>
  <c r="Y102" i="7"/>
  <c r="X102" i="7"/>
  <c r="Q102" i="7"/>
  <c r="P102" i="7"/>
  <c r="F102" i="7"/>
  <c r="D102" i="7"/>
  <c r="B102" i="7"/>
  <c r="Y101" i="7"/>
  <c r="X101" i="7"/>
  <c r="Q101" i="7"/>
  <c r="P101" i="7"/>
  <c r="F101" i="7"/>
  <c r="D101" i="7"/>
  <c r="B101" i="7"/>
  <c r="Y100" i="7"/>
  <c r="X100" i="7"/>
  <c r="Q100" i="7"/>
  <c r="P100" i="7"/>
  <c r="F100" i="7"/>
  <c r="D100" i="7"/>
  <c r="B100" i="7"/>
  <c r="Y99" i="7"/>
  <c r="X99" i="7"/>
  <c r="Q99" i="7"/>
  <c r="P99" i="7"/>
  <c r="F99" i="7"/>
  <c r="D99" i="7"/>
  <c r="B99" i="7"/>
  <c r="Y98" i="7"/>
  <c r="X98" i="7"/>
  <c r="Q98" i="7"/>
  <c r="P98" i="7"/>
  <c r="F98" i="7"/>
  <c r="D98" i="7"/>
  <c r="B98" i="7"/>
  <c r="Y97" i="7"/>
  <c r="X97" i="7"/>
  <c r="Q97" i="7"/>
  <c r="P97" i="7"/>
  <c r="F97" i="7"/>
  <c r="D97" i="7"/>
  <c r="B97" i="7"/>
  <c r="Y96" i="7"/>
  <c r="X96" i="7"/>
  <c r="Q96" i="7"/>
  <c r="P96" i="7"/>
  <c r="F96" i="7"/>
  <c r="D96" i="7"/>
  <c r="B96" i="7"/>
  <c r="Y95" i="7"/>
  <c r="X95" i="7"/>
  <c r="Q95" i="7"/>
  <c r="P95" i="7"/>
  <c r="F95" i="7"/>
  <c r="D95" i="7"/>
  <c r="B95" i="7"/>
  <c r="Y94" i="7"/>
  <c r="X94" i="7"/>
  <c r="Q94" i="7"/>
  <c r="P94" i="7"/>
  <c r="F94" i="7"/>
  <c r="D94" i="7"/>
  <c r="B94" i="7"/>
  <c r="Y93" i="7"/>
  <c r="X93" i="7"/>
  <c r="Q93" i="7"/>
  <c r="P93" i="7"/>
  <c r="F93" i="7"/>
  <c r="D93" i="7"/>
  <c r="B93" i="7"/>
  <c r="Y92" i="7"/>
  <c r="X92" i="7"/>
  <c r="Q92" i="7"/>
  <c r="P92" i="7"/>
  <c r="F92" i="7"/>
  <c r="D92" i="7"/>
  <c r="B92" i="7"/>
  <c r="Y91" i="7"/>
  <c r="X91" i="7"/>
  <c r="Q91" i="7"/>
  <c r="P91" i="7"/>
  <c r="F91" i="7"/>
  <c r="D91" i="7"/>
  <c r="B91" i="7"/>
  <c r="Y90" i="7"/>
  <c r="X90" i="7"/>
  <c r="Q90" i="7"/>
  <c r="P90" i="7"/>
  <c r="F90" i="7"/>
  <c r="D90" i="7"/>
  <c r="B90" i="7"/>
  <c r="Y89" i="7"/>
  <c r="X89" i="7"/>
  <c r="Q89" i="7"/>
  <c r="P89" i="7"/>
  <c r="F89" i="7"/>
  <c r="D89" i="7"/>
  <c r="B89" i="7"/>
  <c r="Y88" i="7"/>
  <c r="X88" i="7"/>
  <c r="Q88" i="7"/>
  <c r="P88" i="7"/>
  <c r="F88" i="7"/>
  <c r="D88" i="7"/>
  <c r="B88" i="7"/>
  <c r="Y87" i="7"/>
  <c r="X87" i="7"/>
  <c r="Q87" i="7"/>
  <c r="P87" i="7"/>
  <c r="F87" i="7"/>
  <c r="D87" i="7"/>
  <c r="B87" i="7"/>
  <c r="Y86" i="7"/>
  <c r="X86" i="7"/>
  <c r="Q86" i="7"/>
  <c r="P86" i="7"/>
  <c r="F86" i="7"/>
  <c r="D86" i="7"/>
  <c r="B86" i="7"/>
  <c r="Y85" i="7"/>
  <c r="X85" i="7"/>
  <c r="Q85" i="7"/>
  <c r="P85" i="7"/>
  <c r="F85" i="7"/>
  <c r="D85" i="7"/>
  <c r="B85" i="7"/>
  <c r="Y84" i="7"/>
  <c r="X84" i="7"/>
  <c r="Q84" i="7"/>
  <c r="P84" i="7"/>
  <c r="F84" i="7"/>
  <c r="D84" i="7"/>
  <c r="B84" i="7"/>
  <c r="Y83" i="7"/>
  <c r="X83" i="7"/>
  <c r="Q83" i="7"/>
  <c r="P83" i="7"/>
  <c r="F83" i="7"/>
  <c r="D83" i="7"/>
  <c r="B83" i="7"/>
  <c r="Y82" i="7"/>
  <c r="X82" i="7"/>
  <c r="Q82" i="7"/>
  <c r="P82" i="7"/>
  <c r="F82" i="7"/>
  <c r="D82" i="7"/>
  <c r="B82" i="7"/>
  <c r="Y81" i="7"/>
  <c r="X81" i="7"/>
  <c r="Q81" i="7"/>
  <c r="P81" i="7"/>
  <c r="F81" i="7"/>
  <c r="D81" i="7"/>
  <c r="B81" i="7"/>
  <c r="Y80" i="7"/>
  <c r="X80" i="7"/>
  <c r="Q80" i="7"/>
  <c r="P80" i="7"/>
  <c r="F80" i="7"/>
  <c r="D80" i="7"/>
  <c r="B80" i="7"/>
  <c r="Y79" i="7"/>
  <c r="X79" i="7"/>
  <c r="Q79" i="7"/>
  <c r="P79" i="7"/>
  <c r="F79" i="7"/>
  <c r="D79" i="7"/>
  <c r="B79" i="7"/>
  <c r="Y78" i="7"/>
  <c r="X78" i="7"/>
  <c r="Q78" i="7"/>
  <c r="P78" i="7"/>
  <c r="F78" i="7"/>
  <c r="D78" i="7"/>
  <c r="B78" i="7"/>
  <c r="Y77" i="7"/>
  <c r="X77" i="7"/>
  <c r="Q77" i="7"/>
  <c r="P77" i="7"/>
  <c r="F77" i="7"/>
  <c r="D77" i="7"/>
  <c r="B77" i="7"/>
  <c r="Y76" i="7"/>
  <c r="X76" i="7"/>
  <c r="Q76" i="7"/>
  <c r="P76" i="7"/>
  <c r="F76" i="7"/>
  <c r="D76" i="7"/>
  <c r="B76" i="7"/>
  <c r="Y75" i="7"/>
  <c r="X75" i="7"/>
  <c r="Q75" i="7"/>
  <c r="P75" i="7"/>
  <c r="F75" i="7"/>
  <c r="D75" i="7"/>
  <c r="B75" i="7"/>
  <c r="Y74" i="7"/>
  <c r="X74" i="7"/>
  <c r="Q74" i="7"/>
  <c r="P74" i="7"/>
  <c r="F74" i="7"/>
  <c r="D74" i="7"/>
  <c r="B74" i="7"/>
  <c r="Y73" i="7"/>
  <c r="X73" i="7"/>
  <c r="Q73" i="7"/>
  <c r="P73" i="7"/>
  <c r="F73" i="7"/>
  <c r="D73" i="7"/>
  <c r="B73" i="7"/>
  <c r="Y72" i="7"/>
  <c r="X72" i="7"/>
  <c r="Q72" i="7"/>
  <c r="P72" i="7"/>
  <c r="F72" i="7"/>
  <c r="D72" i="7"/>
  <c r="B72" i="7"/>
  <c r="Y71" i="7"/>
  <c r="X71" i="7"/>
  <c r="Q71" i="7"/>
  <c r="P71" i="7"/>
  <c r="F71" i="7"/>
  <c r="D71" i="7"/>
  <c r="B71" i="7"/>
  <c r="Y70" i="7"/>
  <c r="X70" i="7"/>
  <c r="Q70" i="7"/>
  <c r="P70" i="7"/>
  <c r="F70" i="7"/>
  <c r="D70" i="7"/>
  <c r="B70" i="7"/>
  <c r="Y69" i="7"/>
  <c r="X69" i="7"/>
  <c r="Q69" i="7"/>
  <c r="P69" i="7"/>
  <c r="F69" i="7"/>
  <c r="D69" i="7"/>
  <c r="B69" i="7"/>
  <c r="Y68" i="7"/>
  <c r="X68" i="7"/>
  <c r="Q68" i="7"/>
  <c r="P68" i="7"/>
  <c r="F68" i="7"/>
  <c r="D68" i="7"/>
  <c r="B68" i="7"/>
  <c r="Y67" i="7"/>
  <c r="X67" i="7"/>
  <c r="Q67" i="7"/>
  <c r="P67" i="7"/>
  <c r="F67" i="7"/>
  <c r="D67" i="7"/>
  <c r="B67" i="7"/>
  <c r="Y66" i="7"/>
  <c r="X66" i="7"/>
  <c r="Q66" i="7"/>
  <c r="P66" i="7"/>
  <c r="F66" i="7"/>
  <c r="D66" i="7"/>
  <c r="B66" i="7"/>
  <c r="Y65" i="7"/>
  <c r="X65" i="7"/>
  <c r="Q65" i="7"/>
  <c r="P65" i="7"/>
  <c r="F65" i="7"/>
  <c r="D65" i="7"/>
  <c r="B65" i="7"/>
  <c r="Y64" i="7"/>
  <c r="X64" i="7"/>
  <c r="Q64" i="7"/>
  <c r="P64" i="7"/>
  <c r="F64" i="7"/>
  <c r="D64" i="7"/>
  <c r="B64" i="7"/>
  <c r="Y63" i="7"/>
  <c r="X63" i="7"/>
  <c r="Q63" i="7"/>
  <c r="P63" i="7"/>
  <c r="F63" i="7"/>
  <c r="D63" i="7"/>
  <c r="B63" i="7"/>
  <c r="Y62" i="7"/>
  <c r="X62" i="7"/>
  <c r="Q62" i="7"/>
  <c r="P62" i="7"/>
  <c r="F62" i="7"/>
  <c r="D62" i="7"/>
  <c r="B62" i="7"/>
  <c r="Y61" i="7"/>
  <c r="X61" i="7"/>
  <c r="Q61" i="7"/>
  <c r="P61" i="7"/>
  <c r="F61" i="7"/>
  <c r="D61" i="7"/>
  <c r="B61" i="7"/>
  <c r="Y60" i="7"/>
  <c r="X60" i="7"/>
  <c r="Q60" i="7"/>
  <c r="P60" i="7"/>
  <c r="F60" i="7"/>
  <c r="D60" i="7"/>
  <c r="B60" i="7"/>
  <c r="Y59" i="7"/>
  <c r="X59" i="7"/>
  <c r="Q59" i="7"/>
  <c r="P59" i="7"/>
  <c r="F59" i="7"/>
  <c r="D59" i="7"/>
  <c r="B59" i="7"/>
  <c r="Y58" i="7"/>
  <c r="X58" i="7"/>
  <c r="Q58" i="7"/>
  <c r="P58" i="7"/>
  <c r="F58" i="7"/>
  <c r="D58" i="7"/>
  <c r="B58" i="7"/>
  <c r="Y57" i="7"/>
  <c r="X57" i="7"/>
  <c r="Q57" i="7"/>
  <c r="P57" i="7"/>
  <c r="F57" i="7"/>
  <c r="D57" i="7"/>
  <c r="B57" i="7"/>
  <c r="Y56" i="7"/>
  <c r="X56" i="7"/>
  <c r="Q56" i="7"/>
  <c r="P56" i="7"/>
  <c r="F56" i="7"/>
  <c r="D56" i="7"/>
  <c r="B56" i="7"/>
  <c r="Y55" i="7"/>
  <c r="X55" i="7"/>
  <c r="Q55" i="7"/>
  <c r="P55" i="7"/>
  <c r="F55" i="7"/>
  <c r="D55" i="7"/>
  <c r="B55" i="7"/>
  <c r="Y54" i="7"/>
  <c r="X54" i="7"/>
  <c r="Q54" i="7"/>
  <c r="P54" i="7"/>
  <c r="F54" i="7"/>
  <c r="D54" i="7"/>
  <c r="B54" i="7"/>
  <c r="Y53" i="7"/>
  <c r="X53" i="7"/>
  <c r="Q53" i="7"/>
  <c r="P53" i="7"/>
  <c r="F53" i="7"/>
  <c r="D53" i="7"/>
  <c r="B53" i="7"/>
  <c r="Y52" i="7"/>
  <c r="X52" i="7"/>
  <c r="Q52" i="7"/>
  <c r="P52" i="7"/>
  <c r="F52" i="7"/>
  <c r="D52" i="7"/>
  <c r="B52" i="7"/>
  <c r="Y51" i="7"/>
  <c r="X51" i="7"/>
  <c r="Q51" i="7"/>
  <c r="P51" i="7"/>
  <c r="F51" i="7"/>
  <c r="D51" i="7"/>
  <c r="B51" i="7"/>
  <c r="Y50" i="7"/>
  <c r="X50" i="7"/>
  <c r="Q50" i="7"/>
  <c r="P50" i="7"/>
  <c r="F50" i="7"/>
  <c r="D50" i="7"/>
  <c r="B50" i="7"/>
  <c r="Y49" i="7"/>
  <c r="X49" i="7"/>
  <c r="Q49" i="7"/>
  <c r="P49" i="7"/>
  <c r="F49" i="7"/>
  <c r="D49" i="7"/>
  <c r="B49" i="7"/>
  <c r="Y48" i="7"/>
  <c r="X48" i="7"/>
  <c r="Q48" i="7"/>
  <c r="P48" i="7"/>
  <c r="F48" i="7"/>
  <c r="D48" i="7"/>
  <c r="B48" i="7"/>
  <c r="Y47" i="7"/>
  <c r="X47" i="7"/>
  <c r="Q47" i="7"/>
  <c r="P47" i="7"/>
  <c r="F47" i="7"/>
  <c r="D47" i="7"/>
  <c r="B47" i="7"/>
  <c r="Y46" i="7"/>
  <c r="X46" i="7"/>
  <c r="Q46" i="7"/>
  <c r="P46" i="7"/>
  <c r="F46" i="7"/>
  <c r="D46" i="7"/>
  <c r="B46" i="7"/>
  <c r="Y45" i="7"/>
  <c r="X45" i="7"/>
  <c r="Q45" i="7"/>
  <c r="P45" i="7"/>
  <c r="F45" i="7"/>
  <c r="D45" i="7"/>
  <c r="B45" i="7"/>
  <c r="Y44" i="7"/>
  <c r="X44" i="7"/>
  <c r="Q44" i="7"/>
  <c r="P44" i="7"/>
  <c r="F44" i="7"/>
  <c r="D44" i="7"/>
  <c r="B44" i="7"/>
  <c r="Y43" i="7"/>
  <c r="X43" i="7"/>
  <c r="Q43" i="7"/>
  <c r="P43" i="7"/>
  <c r="F43" i="7"/>
  <c r="D43" i="7"/>
  <c r="B43" i="7"/>
  <c r="Y42" i="7"/>
  <c r="X42" i="7"/>
  <c r="Q42" i="7"/>
  <c r="P42" i="7"/>
  <c r="F42" i="7"/>
  <c r="D42" i="7"/>
  <c r="B42" i="7"/>
  <c r="Y41" i="7"/>
  <c r="X41" i="7"/>
  <c r="Q41" i="7"/>
  <c r="P41" i="7"/>
  <c r="F41" i="7"/>
  <c r="D41" i="7"/>
  <c r="B41" i="7"/>
  <c r="Y40" i="7"/>
  <c r="X40" i="7"/>
  <c r="Q40" i="7"/>
  <c r="P40" i="7"/>
  <c r="F40" i="7"/>
  <c r="D40" i="7"/>
  <c r="B40" i="7"/>
  <c r="Y39" i="7"/>
  <c r="X39" i="7"/>
  <c r="Q39" i="7"/>
  <c r="P39" i="7"/>
  <c r="F39" i="7"/>
  <c r="D39" i="7"/>
  <c r="B39" i="7"/>
  <c r="Y38" i="7"/>
  <c r="X38" i="7"/>
  <c r="Q38" i="7"/>
  <c r="P38" i="7"/>
  <c r="F38" i="7"/>
  <c r="D38" i="7"/>
  <c r="B38" i="7"/>
  <c r="Y37" i="7"/>
  <c r="X37" i="7"/>
  <c r="Q37" i="7"/>
  <c r="P37" i="7"/>
  <c r="F37" i="7"/>
  <c r="D37" i="7"/>
  <c r="B37" i="7"/>
  <c r="Y36" i="7"/>
  <c r="X36" i="7"/>
  <c r="Q36" i="7"/>
  <c r="P36" i="7"/>
  <c r="F36" i="7"/>
  <c r="D36" i="7"/>
  <c r="B36" i="7"/>
  <c r="Y35" i="7"/>
  <c r="X35" i="7"/>
  <c r="Q35" i="7"/>
  <c r="P35" i="7"/>
  <c r="F35" i="7"/>
  <c r="D35" i="7"/>
  <c r="B35" i="7"/>
  <c r="Y34" i="7"/>
  <c r="X34" i="7"/>
  <c r="Q34" i="7"/>
  <c r="P34" i="7"/>
  <c r="F34" i="7"/>
  <c r="D34" i="7"/>
  <c r="B34" i="7"/>
  <c r="Y33" i="7"/>
  <c r="X33" i="7"/>
  <c r="Q33" i="7"/>
  <c r="P33" i="7"/>
  <c r="F33" i="7"/>
  <c r="D33" i="7"/>
  <c r="B33" i="7"/>
  <c r="Y32" i="7"/>
  <c r="X32" i="7"/>
  <c r="Q32" i="7"/>
  <c r="P32" i="7"/>
  <c r="F32" i="7"/>
  <c r="D32" i="7"/>
  <c r="B32" i="7"/>
  <c r="Y31" i="7"/>
  <c r="X31" i="7"/>
  <c r="Q31" i="7"/>
  <c r="P31" i="7"/>
  <c r="F31" i="7"/>
  <c r="D31" i="7"/>
  <c r="B31" i="7"/>
  <c r="Y30" i="7"/>
  <c r="X30" i="7"/>
  <c r="Q30" i="7"/>
  <c r="P30" i="7"/>
  <c r="F30" i="7"/>
  <c r="D30" i="7"/>
  <c r="B30" i="7"/>
  <c r="Y29" i="7"/>
  <c r="X29" i="7"/>
  <c r="Q29" i="7"/>
  <c r="P29" i="7"/>
  <c r="F29" i="7"/>
  <c r="D29" i="7"/>
  <c r="B29" i="7"/>
  <c r="Y28" i="7"/>
  <c r="X28" i="7"/>
  <c r="Q28" i="7"/>
  <c r="P28" i="7"/>
  <c r="F28" i="7"/>
  <c r="D28" i="7"/>
  <c r="B28" i="7"/>
  <c r="Y27" i="7"/>
  <c r="X27" i="7"/>
  <c r="Q27" i="7"/>
  <c r="P27" i="7"/>
  <c r="F27" i="7"/>
  <c r="D27" i="7"/>
  <c r="B27" i="7"/>
  <c r="Y26" i="7"/>
  <c r="X26" i="7"/>
  <c r="Q26" i="7"/>
  <c r="P26" i="7"/>
  <c r="F26" i="7"/>
  <c r="D26" i="7"/>
  <c r="B26" i="7"/>
  <c r="Y25" i="7"/>
  <c r="X25" i="7"/>
  <c r="Q25" i="7"/>
  <c r="P25" i="7"/>
  <c r="F25" i="7"/>
  <c r="D25" i="7"/>
  <c r="B25" i="7"/>
  <c r="Y24" i="7"/>
  <c r="X24" i="7"/>
  <c r="Q24" i="7"/>
  <c r="P24" i="7"/>
  <c r="F24" i="7"/>
  <c r="D24" i="7"/>
  <c r="B24" i="7"/>
  <c r="Y23" i="7"/>
  <c r="X23" i="7"/>
  <c r="Q23" i="7"/>
  <c r="P23" i="7"/>
  <c r="F23" i="7"/>
  <c r="D23" i="7"/>
  <c r="B23" i="7"/>
  <c r="Y22" i="7"/>
  <c r="X22" i="7"/>
  <c r="Q22" i="7"/>
  <c r="P22" i="7"/>
  <c r="F22" i="7"/>
  <c r="D22" i="7"/>
  <c r="B22" i="7"/>
  <c r="Y21" i="7"/>
  <c r="X21" i="7"/>
  <c r="Q21" i="7"/>
  <c r="P21" i="7"/>
  <c r="F21" i="7"/>
  <c r="D21" i="7"/>
  <c r="B21" i="7"/>
  <c r="Y20" i="7"/>
  <c r="X20" i="7"/>
  <c r="Q20" i="7"/>
  <c r="P20" i="7"/>
  <c r="F20" i="7"/>
  <c r="D20" i="7"/>
  <c r="B20" i="7"/>
  <c r="Y19" i="7"/>
  <c r="X19" i="7"/>
  <c r="Q19" i="7"/>
  <c r="P19" i="7"/>
  <c r="F19" i="7"/>
  <c r="D19" i="7"/>
  <c r="B19" i="7"/>
  <c r="Y18" i="7"/>
  <c r="X18" i="7"/>
  <c r="Q18" i="7"/>
  <c r="P18" i="7"/>
  <c r="F18" i="7"/>
  <c r="D18" i="7"/>
  <c r="B18" i="7"/>
  <c r="Y17" i="7"/>
  <c r="X17" i="7"/>
  <c r="Q17" i="7"/>
  <c r="P17" i="7"/>
  <c r="F17" i="7"/>
  <c r="D17" i="7"/>
  <c r="B17" i="7"/>
  <c r="Y16" i="7"/>
  <c r="X16" i="7"/>
  <c r="Q16" i="7"/>
  <c r="P16" i="7"/>
  <c r="F16" i="7"/>
  <c r="D16" i="7"/>
  <c r="B16" i="7"/>
  <c r="Y15" i="7"/>
  <c r="X15" i="7"/>
  <c r="Q15" i="7"/>
  <c r="P15" i="7"/>
  <c r="F15" i="7"/>
  <c r="D15" i="7"/>
  <c r="B15" i="7"/>
  <c r="Y14" i="7"/>
  <c r="X14" i="7"/>
  <c r="Q14" i="7"/>
  <c r="P14" i="7"/>
  <c r="F14" i="7"/>
  <c r="D14" i="7"/>
  <c r="B14" i="7"/>
  <c r="Y13" i="7"/>
  <c r="X13" i="7"/>
  <c r="Q13" i="7"/>
  <c r="P13" i="7"/>
  <c r="F13" i="7"/>
  <c r="D13" i="7"/>
  <c r="B13" i="7"/>
  <c r="Y12" i="7"/>
  <c r="X12" i="7"/>
  <c r="Q12" i="7"/>
  <c r="P12" i="7"/>
  <c r="F12" i="7"/>
  <c r="D12" i="7"/>
  <c r="B12" i="7"/>
  <c r="Y11" i="7"/>
  <c r="X11" i="7"/>
  <c r="Q11" i="7"/>
  <c r="P11" i="7"/>
  <c r="F11" i="7"/>
  <c r="D11" i="7"/>
  <c r="B11" i="7"/>
  <c r="Y10" i="7"/>
  <c r="X10" i="7"/>
  <c r="Q10" i="7"/>
  <c r="P10" i="7"/>
  <c r="F10" i="7"/>
  <c r="D10" i="7"/>
  <c r="B10" i="7"/>
  <c r="Y9" i="7"/>
  <c r="X9" i="7"/>
  <c r="Q9" i="7"/>
  <c r="P9" i="7"/>
  <c r="F9" i="7"/>
  <c r="D9" i="7"/>
  <c r="B9" i="7"/>
  <c r="Y8" i="7"/>
  <c r="X8" i="7"/>
  <c r="Q8" i="7"/>
  <c r="P8" i="7"/>
  <c r="F8" i="7"/>
  <c r="D8" i="7"/>
  <c r="B8" i="7"/>
  <c r="Y7" i="7"/>
  <c r="X7" i="7"/>
  <c r="Q7" i="7"/>
  <c r="P7" i="7"/>
  <c r="F7" i="7"/>
  <c r="D7" i="7"/>
  <c r="B7" i="7"/>
  <c r="Y6" i="7"/>
  <c r="X6" i="7"/>
  <c r="Q6" i="7"/>
  <c r="P6" i="7"/>
  <c r="F6" i="7"/>
  <c r="D6" i="7"/>
  <c r="B6" i="7"/>
  <c r="Y5" i="7"/>
  <c r="X5" i="7"/>
  <c r="Q5" i="7"/>
  <c r="P5" i="7"/>
  <c r="F5" i="7"/>
  <c r="D5" i="7"/>
  <c r="B5" i="7"/>
  <c r="Q4" i="7"/>
  <c r="P4" i="7"/>
  <c r="F4" i="7"/>
  <c r="D4" i="7"/>
  <c r="B4" i="7"/>
  <c r="Q3" i="7"/>
  <c r="P3" i="7"/>
  <c r="F3" i="7"/>
  <c r="D3" i="7"/>
  <c r="B3" i="7"/>
  <c r="C1" i="7"/>
  <c r="P108" i="5"/>
  <c r="O108" i="5"/>
  <c r="N108" i="5"/>
  <c r="L108" i="5"/>
  <c r="K108" i="5"/>
  <c r="J108" i="5"/>
  <c r="J106" i="5" s="1"/>
  <c r="H108" i="5"/>
  <c r="G108" i="5"/>
  <c r="E108" i="5"/>
  <c r="P107" i="5"/>
  <c r="P106" i="5" s="1"/>
  <c r="O107" i="5"/>
  <c r="N107" i="5"/>
  <c r="L107" i="5"/>
  <c r="K107" i="5"/>
  <c r="K106" i="5" s="1"/>
  <c r="J107" i="5"/>
  <c r="H107" i="5"/>
  <c r="G107" i="5"/>
  <c r="G106" i="5" s="1"/>
  <c r="E107" i="5"/>
  <c r="E106" i="5" s="1"/>
  <c r="L106" i="5"/>
  <c r="P105" i="5"/>
  <c r="O105" i="5"/>
  <c r="N105" i="5"/>
  <c r="L105" i="5"/>
  <c r="K105" i="5"/>
  <c r="J105" i="5"/>
  <c r="H105" i="5"/>
  <c r="G105" i="5"/>
  <c r="E105" i="5"/>
  <c r="P104" i="5"/>
  <c r="O104" i="5"/>
  <c r="N104" i="5"/>
  <c r="L104" i="5"/>
  <c r="K104" i="5"/>
  <c r="J104" i="5"/>
  <c r="J100" i="5" s="1"/>
  <c r="H104" i="5"/>
  <c r="G104" i="5"/>
  <c r="E104" i="5"/>
  <c r="P103" i="5"/>
  <c r="O103" i="5"/>
  <c r="N103" i="5"/>
  <c r="L103" i="5"/>
  <c r="K103" i="5"/>
  <c r="J103" i="5"/>
  <c r="H103" i="5"/>
  <c r="G103" i="5"/>
  <c r="E103" i="5"/>
  <c r="P102" i="5"/>
  <c r="O102" i="5"/>
  <c r="N102" i="5"/>
  <c r="L102" i="5"/>
  <c r="K102" i="5"/>
  <c r="J102" i="5"/>
  <c r="H102" i="5"/>
  <c r="G102" i="5"/>
  <c r="E102" i="5"/>
  <c r="P101" i="5"/>
  <c r="O101" i="5"/>
  <c r="N101" i="5"/>
  <c r="N100" i="5" s="1"/>
  <c r="L101" i="5"/>
  <c r="K101" i="5"/>
  <c r="J101" i="5"/>
  <c r="H101" i="5"/>
  <c r="H100" i="5" s="1"/>
  <c r="G101" i="5"/>
  <c r="E101" i="5"/>
  <c r="P99" i="5"/>
  <c r="O99" i="5"/>
  <c r="N99" i="5"/>
  <c r="L99" i="5"/>
  <c r="K99" i="5"/>
  <c r="J99" i="5"/>
  <c r="H99" i="5"/>
  <c r="G99" i="5"/>
  <c r="E99" i="5"/>
  <c r="P98" i="5"/>
  <c r="O98" i="5"/>
  <c r="N98" i="5"/>
  <c r="L98" i="5"/>
  <c r="K98" i="5"/>
  <c r="J98" i="5"/>
  <c r="H98" i="5"/>
  <c r="G98" i="5"/>
  <c r="E98" i="5"/>
  <c r="P97" i="5"/>
  <c r="O97" i="5"/>
  <c r="N97" i="5"/>
  <c r="L97" i="5"/>
  <c r="K97" i="5"/>
  <c r="J97" i="5"/>
  <c r="H97" i="5"/>
  <c r="G97" i="5"/>
  <c r="E97" i="5"/>
  <c r="P96" i="5"/>
  <c r="O96" i="5"/>
  <c r="N96" i="5"/>
  <c r="L96" i="5"/>
  <c r="K96" i="5"/>
  <c r="J96" i="5"/>
  <c r="H96" i="5"/>
  <c r="G96" i="5"/>
  <c r="E96" i="5"/>
  <c r="P95" i="5"/>
  <c r="O95" i="5"/>
  <c r="N95" i="5"/>
  <c r="L95" i="5"/>
  <c r="K95" i="5"/>
  <c r="J95" i="5"/>
  <c r="H95" i="5"/>
  <c r="G95" i="5"/>
  <c r="E95" i="5"/>
  <c r="P94" i="5"/>
  <c r="O94" i="5"/>
  <c r="N94" i="5"/>
  <c r="L94" i="5"/>
  <c r="K94" i="5"/>
  <c r="J94" i="5"/>
  <c r="H94" i="5"/>
  <c r="G94" i="5"/>
  <c r="E94" i="5"/>
  <c r="P93" i="5"/>
  <c r="O93" i="5"/>
  <c r="N93" i="5"/>
  <c r="L93" i="5"/>
  <c r="K93" i="5"/>
  <c r="J93" i="5"/>
  <c r="H93" i="5"/>
  <c r="G93" i="5"/>
  <c r="E93" i="5"/>
  <c r="P88" i="5"/>
  <c r="O88" i="5"/>
  <c r="N88" i="5"/>
  <c r="L88" i="5"/>
  <c r="K88" i="5"/>
  <c r="J88" i="5"/>
  <c r="J86" i="5" s="1"/>
  <c r="H88" i="5"/>
  <c r="G88" i="5"/>
  <c r="E88" i="5"/>
  <c r="P87" i="5"/>
  <c r="O87" i="5"/>
  <c r="N87" i="5"/>
  <c r="L87" i="5"/>
  <c r="K87" i="5"/>
  <c r="J87" i="5"/>
  <c r="H87" i="5"/>
  <c r="G87" i="5"/>
  <c r="E87" i="5"/>
  <c r="P85" i="5"/>
  <c r="O85" i="5"/>
  <c r="N85" i="5"/>
  <c r="L85" i="5"/>
  <c r="K85" i="5"/>
  <c r="J85" i="5"/>
  <c r="H85" i="5"/>
  <c r="G85" i="5"/>
  <c r="E85" i="5"/>
  <c r="P84" i="5"/>
  <c r="O84" i="5"/>
  <c r="N84" i="5"/>
  <c r="L84" i="5"/>
  <c r="K84" i="5"/>
  <c r="J84" i="5"/>
  <c r="H84" i="5"/>
  <c r="G84" i="5"/>
  <c r="E84" i="5"/>
  <c r="P83" i="5"/>
  <c r="O83" i="5"/>
  <c r="N83" i="5"/>
  <c r="L83" i="5"/>
  <c r="K83" i="5"/>
  <c r="J83" i="5"/>
  <c r="H83" i="5"/>
  <c r="G83" i="5"/>
  <c r="E83" i="5"/>
  <c r="P82" i="5"/>
  <c r="O82" i="5"/>
  <c r="N82" i="5"/>
  <c r="L82" i="5"/>
  <c r="K82" i="5"/>
  <c r="J82" i="5"/>
  <c r="H82" i="5"/>
  <c r="G82" i="5"/>
  <c r="E82" i="5"/>
  <c r="P81" i="5"/>
  <c r="O81" i="5"/>
  <c r="N81" i="5"/>
  <c r="L81" i="5"/>
  <c r="K81" i="5"/>
  <c r="J81" i="5"/>
  <c r="H81" i="5"/>
  <c r="G81" i="5"/>
  <c r="E81" i="5"/>
  <c r="P79" i="5"/>
  <c r="O79" i="5"/>
  <c r="N79" i="5"/>
  <c r="L79" i="5"/>
  <c r="K79" i="5"/>
  <c r="J79" i="5"/>
  <c r="H79" i="5"/>
  <c r="G79" i="5"/>
  <c r="E79" i="5"/>
  <c r="P78" i="5"/>
  <c r="O78" i="5"/>
  <c r="N78" i="5"/>
  <c r="L78" i="5"/>
  <c r="K78" i="5"/>
  <c r="J78" i="5"/>
  <c r="H78" i="5"/>
  <c r="G78" i="5"/>
  <c r="E78" i="5"/>
  <c r="P77" i="5"/>
  <c r="O77" i="5"/>
  <c r="N77" i="5"/>
  <c r="L77" i="5"/>
  <c r="K77" i="5"/>
  <c r="J77" i="5"/>
  <c r="H77" i="5"/>
  <c r="G77" i="5"/>
  <c r="E77" i="5"/>
  <c r="P76" i="5"/>
  <c r="O76" i="5"/>
  <c r="N76" i="5"/>
  <c r="L76" i="5"/>
  <c r="K76" i="5"/>
  <c r="J76" i="5"/>
  <c r="H76" i="5"/>
  <c r="G76" i="5"/>
  <c r="E76" i="5"/>
  <c r="P75" i="5"/>
  <c r="O75" i="5"/>
  <c r="N75" i="5"/>
  <c r="L75" i="5"/>
  <c r="K75" i="5"/>
  <c r="J75" i="5"/>
  <c r="H75" i="5"/>
  <c r="G75" i="5"/>
  <c r="E75" i="5"/>
  <c r="P74" i="5"/>
  <c r="O74" i="5"/>
  <c r="N74" i="5"/>
  <c r="L74" i="5"/>
  <c r="K74" i="5"/>
  <c r="J74" i="5"/>
  <c r="H74" i="5"/>
  <c r="G74" i="5"/>
  <c r="E74" i="5"/>
  <c r="P73" i="5"/>
  <c r="O73" i="5"/>
  <c r="N73" i="5"/>
  <c r="L73" i="5"/>
  <c r="K73" i="5"/>
  <c r="J73" i="5"/>
  <c r="H73" i="5"/>
  <c r="G73" i="5"/>
  <c r="E73" i="5"/>
  <c r="P68" i="5"/>
  <c r="O68" i="5"/>
  <c r="N68" i="5"/>
  <c r="L68" i="5"/>
  <c r="K68" i="5"/>
  <c r="J68" i="5"/>
  <c r="H68" i="5"/>
  <c r="G68" i="5"/>
  <c r="E68" i="5"/>
  <c r="P67" i="5"/>
  <c r="O67" i="5"/>
  <c r="N67" i="5"/>
  <c r="L67" i="5"/>
  <c r="K67" i="5"/>
  <c r="J67" i="5"/>
  <c r="H67" i="5"/>
  <c r="G67" i="5"/>
  <c r="E67" i="5"/>
  <c r="P66" i="5"/>
  <c r="O66" i="5"/>
  <c r="N66" i="5"/>
  <c r="L66" i="5"/>
  <c r="K66" i="5"/>
  <c r="J66" i="5"/>
  <c r="H66" i="5"/>
  <c r="G66" i="5"/>
  <c r="E66" i="5"/>
  <c r="P65" i="5"/>
  <c r="O65" i="5"/>
  <c r="N65" i="5"/>
  <c r="L65" i="5"/>
  <c r="K65" i="5"/>
  <c r="J65" i="5"/>
  <c r="H65" i="5"/>
  <c r="G65" i="5"/>
  <c r="E65" i="5"/>
  <c r="P64" i="5"/>
  <c r="O64" i="5"/>
  <c r="N64" i="5"/>
  <c r="L64" i="5"/>
  <c r="K64" i="5"/>
  <c r="J64" i="5"/>
  <c r="H64" i="5"/>
  <c r="G64" i="5"/>
  <c r="E64" i="5"/>
  <c r="P62" i="5"/>
  <c r="O62" i="5"/>
  <c r="N62" i="5"/>
  <c r="L62" i="5"/>
  <c r="K62" i="5"/>
  <c r="J62" i="5"/>
  <c r="H62" i="5"/>
  <c r="G62" i="5"/>
  <c r="E62" i="5"/>
  <c r="P61" i="5"/>
  <c r="O61" i="5"/>
  <c r="N61" i="5"/>
  <c r="L61" i="5"/>
  <c r="K61" i="5"/>
  <c r="J61" i="5"/>
  <c r="H61" i="5"/>
  <c r="G61" i="5"/>
  <c r="E61" i="5"/>
  <c r="P60" i="5"/>
  <c r="O60" i="5"/>
  <c r="N60" i="5"/>
  <c r="L60" i="5"/>
  <c r="K60" i="5"/>
  <c r="J60" i="5"/>
  <c r="H60" i="5"/>
  <c r="G60" i="5"/>
  <c r="G59" i="5" s="1"/>
  <c r="E60" i="5"/>
  <c r="E59" i="5" s="1"/>
  <c r="P57" i="5"/>
  <c r="O57" i="5"/>
  <c r="N57" i="5"/>
  <c r="L57" i="5"/>
  <c r="K57" i="5"/>
  <c r="J57" i="5"/>
  <c r="H57" i="5"/>
  <c r="G57" i="5"/>
  <c r="E57" i="5"/>
  <c r="P56" i="5"/>
  <c r="O56" i="5"/>
  <c r="N56" i="5"/>
  <c r="L56" i="5"/>
  <c r="K56" i="5"/>
  <c r="J56" i="5"/>
  <c r="H56" i="5"/>
  <c r="G56" i="5"/>
  <c r="E56" i="5"/>
  <c r="P55" i="5"/>
  <c r="O55" i="5"/>
  <c r="N55" i="5"/>
  <c r="L55" i="5"/>
  <c r="K55" i="5"/>
  <c r="J55" i="5"/>
  <c r="H55" i="5"/>
  <c r="G55" i="5"/>
  <c r="E55" i="5"/>
  <c r="P54" i="5"/>
  <c r="O54" i="5"/>
  <c r="N54" i="5"/>
  <c r="L54" i="5"/>
  <c r="K54" i="5"/>
  <c r="J54" i="5"/>
  <c r="H54" i="5"/>
  <c r="G54" i="5"/>
  <c r="E54" i="5"/>
  <c r="P52" i="5"/>
  <c r="P51" i="5" s="1"/>
  <c r="O52" i="5"/>
  <c r="O51" i="5" s="1"/>
  <c r="N52" i="5"/>
  <c r="N51" i="5" s="1"/>
  <c r="L52" i="5"/>
  <c r="L51" i="5" s="1"/>
  <c r="K52" i="5"/>
  <c r="K51" i="5" s="1"/>
  <c r="J52" i="5"/>
  <c r="J51" i="5" s="1"/>
  <c r="H52" i="5"/>
  <c r="H51" i="5" s="1"/>
  <c r="G52" i="5"/>
  <c r="G51" i="5" s="1"/>
  <c r="E52" i="5"/>
  <c r="E51" i="5" s="1"/>
  <c r="P50" i="5"/>
  <c r="P49" i="5" s="1"/>
  <c r="O50" i="5"/>
  <c r="O49" i="5" s="1"/>
  <c r="N50" i="5"/>
  <c r="N49" i="5" s="1"/>
  <c r="L50" i="5"/>
  <c r="L49" i="5" s="1"/>
  <c r="K50" i="5"/>
  <c r="K49" i="5" s="1"/>
  <c r="J50" i="5"/>
  <c r="J49" i="5" s="1"/>
  <c r="H50" i="5"/>
  <c r="H49" i="5" s="1"/>
  <c r="G50" i="5"/>
  <c r="G49" i="5" s="1"/>
  <c r="E50" i="5"/>
  <c r="E49" i="5" s="1"/>
  <c r="P48" i="5"/>
  <c r="O48" i="5"/>
  <c r="N48" i="5"/>
  <c r="L48" i="5"/>
  <c r="K48" i="5"/>
  <c r="J48" i="5"/>
  <c r="H48" i="5"/>
  <c r="G48" i="5"/>
  <c r="E48" i="5"/>
  <c r="P47" i="5"/>
  <c r="O47" i="5"/>
  <c r="N47" i="5"/>
  <c r="L47" i="5"/>
  <c r="K47" i="5"/>
  <c r="J47" i="5"/>
  <c r="H47" i="5"/>
  <c r="G47" i="5"/>
  <c r="E47" i="5"/>
  <c r="P46" i="5"/>
  <c r="O46" i="5"/>
  <c r="N46" i="5"/>
  <c r="L46" i="5"/>
  <c r="K46" i="5"/>
  <c r="J46" i="5"/>
  <c r="H46" i="5"/>
  <c r="G46" i="5"/>
  <c r="E46" i="5"/>
  <c r="P45" i="5"/>
  <c r="O45" i="5"/>
  <c r="N45" i="5"/>
  <c r="L45" i="5"/>
  <c r="K45" i="5"/>
  <c r="J45" i="5"/>
  <c r="H45" i="5"/>
  <c r="G45" i="5"/>
  <c r="E45" i="5"/>
  <c r="P44" i="5"/>
  <c r="O44" i="5"/>
  <c r="N44" i="5"/>
  <c r="L44" i="5"/>
  <c r="K44" i="5"/>
  <c r="J44" i="5"/>
  <c r="H44" i="5"/>
  <c r="G44" i="5"/>
  <c r="E44" i="5"/>
  <c r="P43" i="5"/>
  <c r="O43" i="5"/>
  <c r="N43" i="5"/>
  <c r="L43" i="5"/>
  <c r="K43" i="5"/>
  <c r="J43" i="5"/>
  <c r="H43" i="5"/>
  <c r="G43" i="5"/>
  <c r="E43" i="5"/>
  <c r="P41" i="5"/>
  <c r="O41" i="5"/>
  <c r="N41" i="5"/>
  <c r="L41" i="5"/>
  <c r="K41" i="5"/>
  <c r="J41" i="5"/>
  <c r="H41" i="5"/>
  <c r="G41" i="5"/>
  <c r="E41" i="5"/>
  <c r="P40" i="5"/>
  <c r="O40" i="5"/>
  <c r="N40" i="5"/>
  <c r="L40" i="5"/>
  <c r="K40" i="5"/>
  <c r="J40" i="5"/>
  <c r="H40" i="5"/>
  <c r="G40" i="5"/>
  <c r="E40" i="5"/>
  <c r="P37" i="5"/>
  <c r="O37" i="5"/>
  <c r="N37" i="5"/>
  <c r="L37" i="5"/>
  <c r="K37" i="5"/>
  <c r="J37" i="5"/>
  <c r="H37" i="5"/>
  <c r="G37" i="5"/>
  <c r="E37" i="5"/>
  <c r="P36" i="5"/>
  <c r="O36" i="5"/>
  <c r="N36" i="5"/>
  <c r="L36" i="5"/>
  <c r="K36" i="5"/>
  <c r="J36" i="5"/>
  <c r="H36" i="5"/>
  <c r="G36" i="5"/>
  <c r="E36" i="5"/>
  <c r="P35" i="5"/>
  <c r="O35" i="5"/>
  <c r="N35" i="5"/>
  <c r="L35" i="5"/>
  <c r="K35" i="5"/>
  <c r="J35" i="5"/>
  <c r="H35" i="5"/>
  <c r="G35" i="5"/>
  <c r="E35" i="5"/>
  <c r="P34" i="5"/>
  <c r="O34" i="5"/>
  <c r="N34" i="5"/>
  <c r="L34" i="5"/>
  <c r="K34" i="5"/>
  <c r="J34" i="5"/>
  <c r="H34" i="5"/>
  <c r="G34" i="5"/>
  <c r="E34" i="5"/>
  <c r="P32" i="5"/>
  <c r="O32" i="5"/>
  <c r="N32" i="5"/>
  <c r="L32" i="5"/>
  <c r="K32" i="5"/>
  <c r="J32" i="5"/>
  <c r="H32" i="5"/>
  <c r="G32" i="5"/>
  <c r="E32" i="5"/>
  <c r="P31" i="5"/>
  <c r="O31" i="5"/>
  <c r="N31" i="5"/>
  <c r="L31" i="5"/>
  <c r="K31" i="5"/>
  <c r="J31" i="5"/>
  <c r="H31" i="5"/>
  <c r="G31" i="5"/>
  <c r="E31" i="5"/>
  <c r="P29" i="5"/>
  <c r="O29" i="5"/>
  <c r="N29" i="5"/>
  <c r="L29" i="5"/>
  <c r="K29" i="5"/>
  <c r="J29" i="5"/>
  <c r="H29" i="5"/>
  <c r="G29" i="5"/>
  <c r="E29" i="5"/>
  <c r="P28" i="5"/>
  <c r="O28" i="5"/>
  <c r="N28" i="5"/>
  <c r="L28" i="5"/>
  <c r="K28" i="5"/>
  <c r="J28" i="5"/>
  <c r="H28" i="5"/>
  <c r="G28" i="5"/>
  <c r="E28" i="5"/>
  <c r="P27" i="5"/>
  <c r="O27" i="5"/>
  <c r="N27" i="5"/>
  <c r="L27" i="5"/>
  <c r="K27" i="5"/>
  <c r="J27" i="5"/>
  <c r="H27" i="5"/>
  <c r="G27" i="5"/>
  <c r="E27" i="5"/>
  <c r="P26" i="5"/>
  <c r="O26" i="5"/>
  <c r="N26" i="5"/>
  <c r="L26" i="5"/>
  <c r="K26" i="5"/>
  <c r="J26" i="5"/>
  <c r="H26" i="5"/>
  <c r="G26" i="5"/>
  <c r="E26" i="5"/>
  <c r="P25" i="5"/>
  <c r="O25" i="5"/>
  <c r="N25" i="5"/>
  <c r="L25" i="5"/>
  <c r="K25" i="5"/>
  <c r="J25" i="5"/>
  <c r="H25" i="5"/>
  <c r="G25" i="5"/>
  <c r="E25" i="5"/>
  <c r="P24" i="5"/>
  <c r="O24" i="5"/>
  <c r="N24" i="5"/>
  <c r="L24" i="5"/>
  <c r="K24" i="5"/>
  <c r="J24" i="5"/>
  <c r="H24" i="5"/>
  <c r="G24" i="5"/>
  <c r="E24" i="5"/>
  <c r="P22" i="5"/>
  <c r="O22" i="5"/>
  <c r="N22" i="5"/>
  <c r="L22" i="5"/>
  <c r="K22" i="5"/>
  <c r="J22" i="5"/>
  <c r="H22" i="5"/>
  <c r="G22" i="5"/>
  <c r="E22" i="5"/>
  <c r="P21" i="5"/>
  <c r="O21" i="5"/>
  <c r="N21" i="5"/>
  <c r="L21" i="5"/>
  <c r="K21" i="5"/>
  <c r="J21" i="5"/>
  <c r="H21" i="5"/>
  <c r="G21" i="5"/>
  <c r="E21" i="5"/>
  <c r="P20" i="5"/>
  <c r="O20" i="5"/>
  <c r="N20" i="5"/>
  <c r="L20" i="5"/>
  <c r="K20" i="5"/>
  <c r="J20" i="5"/>
  <c r="H20" i="5"/>
  <c r="G20" i="5"/>
  <c r="E20" i="5"/>
  <c r="P18" i="5"/>
  <c r="O18" i="5"/>
  <c r="N18" i="5"/>
  <c r="L18" i="5"/>
  <c r="K18" i="5"/>
  <c r="J18" i="5"/>
  <c r="H18" i="5"/>
  <c r="G18" i="5"/>
  <c r="E18" i="5"/>
  <c r="P17" i="5"/>
  <c r="O17" i="5"/>
  <c r="N17" i="5"/>
  <c r="L17" i="5"/>
  <c r="K17" i="5"/>
  <c r="J17" i="5"/>
  <c r="H17" i="5"/>
  <c r="G17" i="5"/>
  <c r="E17" i="5"/>
  <c r="P16" i="5"/>
  <c r="O16" i="5"/>
  <c r="N16" i="5"/>
  <c r="L16" i="5"/>
  <c r="K16" i="5"/>
  <c r="J16" i="5"/>
  <c r="H16" i="5"/>
  <c r="G16" i="5"/>
  <c r="E16" i="5"/>
  <c r="P14" i="5"/>
  <c r="O14" i="5"/>
  <c r="N14" i="5"/>
  <c r="L14" i="5"/>
  <c r="K14" i="5"/>
  <c r="J14" i="5"/>
  <c r="H14" i="5"/>
  <c r="G14" i="5"/>
  <c r="E14" i="5"/>
  <c r="P13" i="5"/>
  <c r="O13" i="5"/>
  <c r="N13" i="5"/>
  <c r="L13" i="5"/>
  <c r="K13" i="5"/>
  <c r="J13" i="5"/>
  <c r="H13" i="5"/>
  <c r="G13" i="5"/>
  <c r="E13" i="5"/>
  <c r="P12" i="5"/>
  <c r="O12" i="5"/>
  <c r="N12" i="5"/>
  <c r="L12" i="5"/>
  <c r="K12" i="5"/>
  <c r="J12" i="5"/>
  <c r="H12" i="5"/>
  <c r="G12" i="5"/>
  <c r="E12" i="5"/>
  <c r="P11" i="5"/>
  <c r="O11" i="5"/>
  <c r="N11" i="5"/>
  <c r="L11" i="5"/>
  <c r="K11" i="5"/>
  <c r="J11" i="5"/>
  <c r="H11" i="5"/>
  <c r="G11" i="5"/>
  <c r="E11" i="5"/>
  <c r="P10" i="5"/>
  <c r="O10" i="5"/>
  <c r="N10" i="5"/>
  <c r="L10" i="5"/>
  <c r="K10" i="5"/>
  <c r="J10" i="5"/>
  <c r="H10" i="5"/>
  <c r="G10" i="5"/>
  <c r="E10" i="5"/>
  <c r="P8" i="5"/>
  <c r="O8" i="5"/>
  <c r="N8" i="5"/>
  <c r="L8" i="5"/>
  <c r="K8" i="5"/>
  <c r="J8" i="5"/>
  <c r="H8" i="5"/>
  <c r="G8" i="5"/>
  <c r="E8" i="5"/>
  <c r="P7" i="5"/>
  <c r="O7" i="5"/>
  <c r="N7" i="5"/>
  <c r="L7" i="5"/>
  <c r="K7" i="5"/>
  <c r="J7" i="5"/>
  <c r="H7" i="5"/>
  <c r="G7" i="5"/>
  <c r="E7" i="5"/>
  <c r="P6" i="5"/>
  <c r="O6" i="5"/>
  <c r="N6" i="5"/>
  <c r="L6" i="5"/>
  <c r="K6" i="5"/>
  <c r="J6" i="5"/>
  <c r="H6" i="5"/>
  <c r="G6" i="5"/>
  <c r="E6" i="5"/>
  <c r="C107" i="4"/>
  <c r="C79" i="4"/>
  <c r="E24" i="1" s="1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 s="1"/>
  <c r="E23" i="1" s="1"/>
  <c r="C71" i="4"/>
  <c r="C43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 s="1"/>
  <c r="D23" i="1" s="1"/>
  <c r="C7" i="4"/>
  <c r="C5" i="4"/>
  <c r="N501" i="3"/>
  <c r="M501" i="3"/>
  <c r="H501" i="3"/>
  <c r="F501" i="3"/>
  <c r="D501" i="3"/>
  <c r="B501" i="3"/>
  <c r="A501" i="3"/>
  <c r="N500" i="3"/>
  <c r="M500" i="3"/>
  <c r="H500" i="3"/>
  <c r="F500" i="3"/>
  <c r="D500" i="3"/>
  <c r="B500" i="3"/>
  <c r="A500" i="3"/>
  <c r="N499" i="3"/>
  <c r="M499" i="3"/>
  <c r="H499" i="3"/>
  <c r="F499" i="3"/>
  <c r="D499" i="3"/>
  <c r="B499" i="3"/>
  <c r="A499" i="3"/>
  <c r="N498" i="3"/>
  <c r="M498" i="3"/>
  <c r="H498" i="3"/>
  <c r="F498" i="3"/>
  <c r="D498" i="3"/>
  <c r="B498" i="3"/>
  <c r="A498" i="3"/>
  <c r="N497" i="3"/>
  <c r="M497" i="3"/>
  <c r="H497" i="3"/>
  <c r="F497" i="3"/>
  <c r="D497" i="3"/>
  <c r="B497" i="3"/>
  <c r="A497" i="3"/>
  <c r="N496" i="3"/>
  <c r="M496" i="3"/>
  <c r="H496" i="3"/>
  <c r="F496" i="3"/>
  <c r="D496" i="3"/>
  <c r="B496" i="3"/>
  <c r="A496" i="3"/>
  <c r="N495" i="3"/>
  <c r="M495" i="3"/>
  <c r="H495" i="3"/>
  <c r="F495" i="3"/>
  <c r="D495" i="3"/>
  <c r="B495" i="3"/>
  <c r="A495" i="3"/>
  <c r="N494" i="3"/>
  <c r="M494" i="3"/>
  <c r="H494" i="3"/>
  <c r="F494" i="3"/>
  <c r="D494" i="3"/>
  <c r="B494" i="3"/>
  <c r="A494" i="3"/>
  <c r="N493" i="3"/>
  <c r="M493" i="3"/>
  <c r="H493" i="3"/>
  <c r="F493" i="3"/>
  <c r="D493" i="3"/>
  <c r="B493" i="3"/>
  <c r="A493" i="3"/>
  <c r="N492" i="3"/>
  <c r="M492" i="3"/>
  <c r="H492" i="3"/>
  <c r="F492" i="3"/>
  <c r="D492" i="3"/>
  <c r="B492" i="3"/>
  <c r="A492" i="3"/>
  <c r="N491" i="3"/>
  <c r="M491" i="3"/>
  <c r="H491" i="3"/>
  <c r="F491" i="3"/>
  <c r="D491" i="3"/>
  <c r="B491" i="3"/>
  <c r="A491" i="3"/>
  <c r="N490" i="3"/>
  <c r="M490" i="3"/>
  <c r="H490" i="3"/>
  <c r="F490" i="3"/>
  <c r="D490" i="3"/>
  <c r="B490" i="3"/>
  <c r="A490" i="3"/>
  <c r="N489" i="3"/>
  <c r="M489" i="3"/>
  <c r="H489" i="3"/>
  <c r="F489" i="3"/>
  <c r="D489" i="3"/>
  <c r="B489" i="3"/>
  <c r="A489" i="3"/>
  <c r="N488" i="3"/>
  <c r="M488" i="3"/>
  <c r="H488" i="3"/>
  <c r="F488" i="3"/>
  <c r="D488" i="3"/>
  <c r="B488" i="3"/>
  <c r="A488" i="3"/>
  <c r="N487" i="3"/>
  <c r="M487" i="3"/>
  <c r="H487" i="3"/>
  <c r="F487" i="3"/>
  <c r="D487" i="3"/>
  <c r="B487" i="3"/>
  <c r="A487" i="3"/>
  <c r="N486" i="3"/>
  <c r="M486" i="3"/>
  <c r="H486" i="3"/>
  <c r="F486" i="3"/>
  <c r="D486" i="3"/>
  <c r="B486" i="3"/>
  <c r="A486" i="3"/>
  <c r="N485" i="3"/>
  <c r="M485" i="3"/>
  <c r="H485" i="3"/>
  <c r="F485" i="3"/>
  <c r="D485" i="3"/>
  <c r="B485" i="3"/>
  <c r="A485" i="3"/>
  <c r="N484" i="3"/>
  <c r="M484" i="3"/>
  <c r="H484" i="3"/>
  <c r="F484" i="3"/>
  <c r="D484" i="3"/>
  <c r="B484" i="3"/>
  <c r="A484" i="3"/>
  <c r="N483" i="3"/>
  <c r="M483" i="3"/>
  <c r="H483" i="3"/>
  <c r="F483" i="3"/>
  <c r="D483" i="3"/>
  <c r="B483" i="3"/>
  <c r="A483" i="3"/>
  <c r="N482" i="3"/>
  <c r="M482" i="3"/>
  <c r="H482" i="3"/>
  <c r="F482" i="3"/>
  <c r="D482" i="3"/>
  <c r="B482" i="3"/>
  <c r="A482" i="3"/>
  <c r="N481" i="3"/>
  <c r="M481" i="3"/>
  <c r="H481" i="3"/>
  <c r="F481" i="3"/>
  <c r="D481" i="3"/>
  <c r="B481" i="3"/>
  <c r="A481" i="3"/>
  <c r="N480" i="3"/>
  <c r="M480" i="3"/>
  <c r="H480" i="3"/>
  <c r="F480" i="3"/>
  <c r="D480" i="3"/>
  <c r="B480" i="3"/>
  <c r="A480" i="3"/>
  <c r="N479" i="3"/>
  <c r="M479" i="3"/>
  <c r="H479" i="3"/>
  <c r="F479" i="3"/>
  <c r="D479" i="3"/>
  <c r="B479" i="3"/>
  <c r="A479" i="3"/>
  <c r="N478" i="3"/>
  <c r="M478" i="3"/>
  <c r="H478" i="3"/>
  <c r="F478" i="3"/>
  <c r="D478" i="3"/>
  <c r="B478" i="3"/>
  <c r="A478" i="3"/>
  <c r="N477" i="3"/>
  <c r="M477" i="3"/>
  <c r="H477" i="3"/>
  <c r="F477" i="3"/>
  <c r="D477" i="3"/>
  <c r="B477" i="3"/>
  <c r="A477" i="3"/>
  <c r="N476" i="3"/>
  <c r="M476" i="3"/>
  <c r="H476" i="3"/>
  <c r="F476" i="3"/>
  <c r="D476" i="3"/>
  <c r="B476" i="3"/>
  <c r="A476" i="3"/>
  <c r="N475" i="3"/>
  <c r="M475" i="3"/>
  <c r="H475" i="3"/>
  <c r="F475" i="3"/>
  <c r="D475" i="3"/>
  <c r="B475" i="3"/>
  <c r="A475" i="3"/>
  <c r="N474" i="3"/>
  <c r="M474" i="3"/>
  <c r="H474" i="3"/>
  <c r="F474" i="3"/>
  <c r="D474" i="3"/>
  <c r="B474" i="3"/>
  <c r="A474" i="3"/>
  <c r="N473" i="3"/>
  <c r="M473" i="3"/>
  <c r="H473" i="3"/>
  <c r="F473" i="3"/>
  <c r="D473" i="3"/>
  <c r="B473" i="3"/>
  <c r="A473" i="3"/>
  <c r="N472" i="3"/>
  <c r="M472" i="3"/>
  <c r="H472" i="3"/>
  <c r="F472" i="3"/>
  <c r="D472" i="3"/>
  <c r="B472" i="3"/>
  <c r="A472" i="3"/>
  <c r="N471" i="3"/>
  <c r="M471" i="3"/>
  <c r="H471" i="3"/>
  <c r="F471" i="3"/>
  <c r="D471" i="3"/>
  <c r="B471" i="3"/>
  <c r="A471" i="3"/>
  <c r="N470" i="3"/>
  <c r="M470" i="3"/>
  <c r="H470" i="3"/>
  <c r="F470" i="3"/>
  <c r="D470" i="3"/>
  <c r="B470" i="3"/>
  <c r="A470" i="3"/>
  <c r="N469" i="3"/>
  <c r="M469" i="3"/>
  <c r="H469" i="3"/>
  <c r="F469" i="3"/>
  <c r="D469" i="3"/>
  <c r="B469" i="3"/>
  <c r="A469" i="3"/>
  <c r="N468" i="3"/>
  <c r="M468" i="3"/>
  <c r="H468" i="3"/>
  <c r="F468" i="3"/>
  <c r="D468" i="3"/>
  <c r="B468" i="3"/>
  <c r="A468" i="3"/>
  <c r="N467" i="3"/>
  <c r="M467" i="3"/>
  <c r="H467" i="3"/>
  <c r="F467" i="3"/>
  <c r="D467" i="3"/>
  <c r="B467" i="3"/>
  <c r="A467" i="3"/>
  <c r="N466" i="3"/>
  <c r="M466" i="3"/>
  <c r="H466" i="3"/>
  <c r="F466" i="3"/>
  <c r="D466" i="3"/>
  <c r="B466" i="3"/>
  <c r="A466" i="3"/>
  <c r="N465" i="3"/>
  <c r="M465" i="3"/>
  <c r="H465" i="3"/>
  <c r="F465" i="3"/>
  <c r="D465" i="3"/>
  <c r="B465" i="3"/>
  <c r="A465" i="3"/>
  <c r="N464" i="3"/>
  <c r="M464" i="3"/>
  <c r="H464" i="3"/>
  <c r="F464" i="3"/>
  <c r="D464" i="3"/>
  <c r="B464" i="3"/>
  <c r="A464" i="3"/>
  <c r="N463" i="3"/>
  <c r="M463" i="3"/>
  <c r="H463" i="3"/>
  <c r="F463" i="3"/>
  <c r="D463" i="3"/>
  <c r="B463" i="3"/>
  <c r="A463" i="3"/>
  <c r="N462" i="3"/>
  <c r="M462" i="3"/>
  <c r="H462" i="3"/>
  <c r="F462" i="3"/>
  <c r="D462" i="3"/>
  <c r="B462" i="3"/>
  <c r="A462" i="3"/>
  <c r="N461" i="3"/>
  <c r="M461" i="3"/>
  <c r="H461" i="3"/>
  <c r="F461" i="3"/>
  <c r="D461" i="3"/>
  <c r="B461" i="3"/>
  <c r="A461" i="3"/>
  <c r="N460" i="3"/>
  <c r="M460" i="3"/>
  <c r="H460" i="3"/>
  <c r="F460" i="3"/>
  <c r="D460" i="3"/>
  <c r="B460" i="3"/>
  <c r="A460" i="3"/>
  <c r="N459" i="3"/>
  <c r="M459" i="3"/>
  <c r="H459" i="3"/>
  <c r="F459" i="3"/>
  <c r="D459" i="3"/>
  <c r="B459" i="3"/>
  <c r="A459" i="3"/>
  <c r="N458" i="3"/>
  <c r="M458" i="3"/>
  <c r="H458" i="3"/>
  <c r="F458" i="3"/>
  <c r="D458" i="3"/>
  <c r="B458" i="3"/>
  <c r="A458" i="3"/>
  <c r="N457" i="3"/>
  <c r="M457" i="3"/>
  <c r="H457" i="3"/>
  <c r="F457" i="3"/>
  <c r="D457" i="3"/>
  <c r="B457" i="3"/>
  <c r="A457" i="3"/>
  <c r="N456" i="3"/>
  <c r="M456" i="3"/>
  <c r="H456" i="3"/>
  <c r="F456" i="3"/>
  <c r="D456" i="3"/>
  <c r="B456" i="3"/>
  <c r="A456" i="3"/>
  <c r="N455" i="3"/>
  <c r="M455" i="3"/>
  <c r="H455" i="3"/>
  <c r="F455" i="3"/>
  <c r="D455" i="3"/>
  <c r="B455" i="3"/>
  <c r="A455" i="3"/>
  <c r="N454" i="3"/>
  <c r="M454" i="3"/>
  <c r="H454" i="3"/>
  <c r="F454" i="3"/>
  <c r="D454" i="3"/>
  <c r="B454" i="3"/>
  <c r="A454" i="3"/>
  <c r="N453" i="3"/>
  <c r="M453" i="3"/>
  <c r="H453" i="3"/>
  <c r="F453" i="3"/>
  <c r="D453" i="3"/>
  <c r="B453" i="3"/>
  <c r="A453" i="3"/>
  <c r="N452" i="3"/>
  <c r="M452" i="3"/>
  <c r="H452" i="3"/>
  <c r="F452" i="3"/>
  <c r="D452" i="3"/>
  <c r="B452" i="3"/>
  <c r="A452" i="3"/>
  <c r="N451" i="3"/>
  <c r="M451" i="3"/>
  <c r="H451" i="3"/>
  <c r="F451" i="3"/>
  <c r="D451" i="3"/>
  <c r="B451" i="3"/>
  <c r="A451" i="3"/>
  <c r="N450" i="3"/>
  <c r="M450" i="3"/>
  <c r="H450" i="3"/>
  <c r="F450" i="3"/>
  <c r="D450" i="3"/>
  <c r="B450" i="3"/>
  <c r="A450" i="3"/>
  <c r="N449" i="3"/>
  <c r="M449" i="3"/>
  <c r="H449" i="3"/>
  <c r="F449" i="3"/>
  <c r="D449" i="3"/>
  <c r="B449" i="3"/>
  <c r="A449" i="3"/>
  <c r="N448" i="3"/>
  <c r="M448" i="3"/>
  <c r="H448" i="3"/>
  <c r="F448" i="3"/>
  <c r="D448" i="3"/>
  <c r="B448" i="3"/>
  <c r="A448" i="3"/>
  <c r="N447" i="3"/>
  <c r="M447" i="3"/>
  <c r="H447" i="3"/>
  <c r="F447" i="3"/>
  <c r="D447" i="3"/>
  <c r="B447" i="3"/>
  <c r="A447" i="3"/>
  <c r="N446" i="3"/>
  <c r="M446" i="3"/>
  <c r="H446" i="3"/>
  <c r="F446" i="3"/>
  <c r="D446" i="3"/>
  <c r="B446" i="3"/>
  <c r="A446" i="3"/>
  <c r="N445" i="3"/>
  <c r="M445" i="3"/>
  <c r="H445" i="3"/>
  <c r="F445" i="3"/>
  <c r="D445" i="3"/>
  <c r="B445" i="3"/>
  <c r="A445" i="3"/>
  <c r="N444" i="3"/>
  <c r="M444" i="3"/>
  <c r="H444" i="3"/>
  <c r="F444" i="3"/>
  <c r="D444" i="3"/>
  <c r="B444" i="3"/>
  <c r="A444" i="3"/>
  <c r="N443" i="3"/>
  <c r="M443" i="3"/>
  <c r="H443" i="3"/>
  <c r="F443" i="3"/>
  <c r="D443" i="3"/>
  <c r="B443" i="3"/>
  <c r="A443" i="3"/>
  <c r="N442" i="3"/>
  <c r="M442" i="3"/>
  <c r="H442" i="3"/>
  <c r="F442" i="3"/>
  <c r="D442" i="3"/>
  <c r="B442" i="3"/>
  <c r="A442" i="3"/>
  <c r="N441" i="3"/>
  <c r="M441" i="3"/>
  <c r="H441" i="3"/>
  <c r="F441" i="3"/>
  <c r="D441" i="3"/>
  <c r="B441" i="3"/>
  <c r="A441" i="3"/>
  <c r="N440" i="3"/>
  <c r="M440" i="3"/>
  <c r="H440" i="3"/>
  <c r="F440" i="3"/>
  <c r="D440" i="3"/>
  <c r="B440" i="3"/>
  <c r="A440" i="3"/>
  <c r="N439" i="3"/>
  <c r="M439" i="3"/>
  <c r="H439" i="3"/>
  <c r="F439" i="3"/>
  <c r="D439" i="3"/>
  <c r="B439" i="3"/>
  <c r="A439" i="3"/>
  <c r="N438" i="3"/>
  <c r="M438" i="3"/>
  <c r="H438" i="3"/>
  <c r="F438" i="3"/>
  <c r="D438" i="3"/>
  <c r="B438" i="3"/>
  <c r="A438" i="3"/>
  <c r="N437" i="3"/>
  <c r="M437" i="3"/>
  <c r="H437" i="3"/>
  <c r="F437" i="3"/>
  <c r="D437" i="3"/>
  <c r="B437" i="3"/>
  <c r="A437" i="3"/>
  <c r="N436" i="3"/>
  <c r="M436" i="3"/>
  <c r="H436" i="3"/>
  <c r="F436" i="3"/>
  <c r="D436" i="3"/>
  <c r="B436" i="3"/>
  <c r="A436" i="3"/>
  <c r="N435" i="3"/>
  <c r="M435" i="3"/>
  <c r="H435" i="3"/>
  <c r="F435" i="3"/>
  <c r="D435" i="3"/>
  <c r="B435" i="3"/>
  <c r="A435" i="3"/>
  <c r="N434" i="3"/>
  <c r="M434" i="3"/>
  <c r="H434" i="3"/>
  <c r="F434" i="3"/>
  <c r="D434" i="3"/>
  <c r="B434" i="3"/>
  <c r="A434" i="3"/>
  <c r="N433" i="3"/>
  <c r="M433" i="3"/>
  <c r="H433" i="3"/>
  <c r="F433" i="3"/>
  <c r="D433" i="3"/>
  <c r="B433" i="3"/>
  <c r="A433" i="3"/>
  <c r="N432" i="3"/>
  <c r="M432" i="3"/>
  <c r="H432" i="3"/>
  <c r="F432" i="3"/>
  <c r="D432" i="3"/>
  <c r="B432" i="3"/>
  <c r="A432" i="3"/>
  <c r="N431" i="3"/>
  <c r="M431" i="3"/>
  <c r="H431" i="3"/>
  <c r="F431" i="3"/>
  <c r="D431" i="3"/>
  <c r="B431" i="3"/>
  <c r="A431" i="3"/>
  <c r="N430" i="3"/>
  <c r="M430" i="3"/>
  <c r="H430" i="3"/>
  <c r="F430" i="3"/>
  <c r="D430" i="3"/>
  <c r="B430" i="3"/>
  <c r="A430" i="3"/>
  <c r="N429" i="3"/>
  <c r="M429" i="3"/>
  <c r="H429" i="3"/>
  <c r="F429" i="3"/>
  <c r="D429" i="3"/>
  <c r="B429" i="3"/>
  <c r="A429" i="3"/>
  <c r="N428" i="3"/>
  <c r="M428" i="3"/>
  <c r="H428" i="3"/>
  <c r="F428" i="3"/>
  <c r="D428" i="3"/>
  <c r="B428" i="3"/>
  <c r="A428" i="3"/>
  <c r="N427" i="3"/>
  <c r="M427" i="3"/>
  <c r="H427" i="3"/>
  <c r="F427" i="3"/>
  <c r="D427" i="3"/>
  <c r="B427" i="3"/>
  <c r="A427" i="3"/>
  <c r="N426" i="3"/>
  <c r="M426" i="3"/>
  <c r="H426" i="3"/>
  <c r="F426" i="3"/>
  <c r="D426" i="3"/>
  <c r="B426" i="3"/>
  <c r="A426" i="3"/>
  <c r="N425" i="3"/>
  <c r="M425" i="3"/>
  <c r="H425" i="3"/>
  <c r="F425" i="3"/>
  <c r="D425" i="3"/>
  <c r="B425" i="3"/>
  <c r="A425" i="3"/>
  <c r="N424" i="3"/>
  <c r="M424" i="3"/>
  <c r="H424" i="3"/>
  <c r="F424" i="3"/>
  <c r="D424" i="3"/>
  <c r="B424" i="3"/>
  <c r="A424" i="3"/>
  <c r="N423" i="3"/>
  <c r="M423" i="3"/>
  <c r="H423" i="3"/>
  <c r="F423" i="3"/>
  <c r="D423" i="3"/>
  <c r="B423" i="3"/>
  <c r="A423" i="3"/>
  <c r="N422" i="3"/>
  <c r="M422" i="3"/>
  <c r="H422" i="3"/>
  <c r="F422" i="3"/>
  <c r="D422" i="3"/>
  <c r="B422" i="3"/>
  <c r="A422" i="3"/>
  <c r="N421" i="3"/>
  <c r="M421" i="3"/>
  <c r="H421" i="3"/>
  <c r="F421" i="3"/>
  <c r="D421" i="3"/>
  <c r="B421" i="3"/>
  <c r="A421" i="3"/>
  <c r="N420" i="3"/>
  <c r="M420" i="3"/>
  <c r="H420" i="3"/>
  <c r="F420" i="3"/>
  <c r="D420" i="3"/>
  <c r="B420" i="3"/>
  <c r="A420" i="3"/>
  <c r="N419" i="3"/>
  <c r="M419" i="3"/>
  <c r="H419" i="3"/>
  <c r="F419" i="3"/>
  <c r="D419" i="3"/>
  <c r="B419" i="3"/>
  <c r="A419" i="3"/>
  <c r="N418" i="3"/>
  <c r="M418" i="3"/>
  <c r="H418" i="3"/>
  <c r="F418" i="3"/>
  <c r="D418" i="3"/>
  <c r="B418" i="3"/>
  <c r="A418" i="3"/>
  <c r="N417" i="3"/>
  <c r="M417" i="3"/>
  <c r="H417" i="3"/>
  <c r="F417" i="3"/>
  <c r="D417" i="3"/>
  <c r="B417" i="3"/>
  <c r="A417" i="3"/>
  <c r="N416" i="3"/>
  <c r="M416" i="3"/>
  <c r="H416" i="3"/>
  <c r="F416" i="3"/>
  <c r="D416" i="3"/>
  <c r="B416" i="3"/>
  <c r="A416" i="3"/>
  <c r="N415" i="3"/>
  <c r="M415" i="3"/>
  <c r="H415" i="3"/>
  <c r="F415" i="3"/>
  <c r="D415" i="3"/>
  <c r="B415" i="3"/>
  <c r="A415" i="3"/>
  <c r="N414" i="3"/>
  <c r="M414" i="3"/>
  <c r="H414" i="3"/>
  <c r="F414" i="3"/>
  <c r="D414" i="3"/>
  <c r="B414" i="3"/>
  <c r="A414" i="3"/>
  <c r="N413" i="3"/>
  <c r="M413" i="3"/>
  <c r="H413" i="3"/>
  <c r="F413" i="3"/>
  <c r="D413" i="3"/>
  <c r="B413" i="3"/>
  <c r="A413" i="3"/>
  <c r="N412" i="3"/>
  <c r="M412" i="3"/>
  <c r="H412" i="3"/>
  <c r="F412" i="3"/>
  <c r="D412" i="3"/>
  <c r="B412" i="3"/>
  <c r="A412" i="3"/>
  <c r="N411" i="3"/>
  <c r="M411" i="3"/>
  <c r="H411" i="3"/>
  <c r="F411" i="3"/>
  <c r="D411" i="3"/>
  <c r="B411" i="3"/>
  <c r="A411" i="3"/>
  <c r="N410" i="3"/>
  <c r="M410" i="3"/>
  <c r="H410" i="3"/>
  <c r="F410" i="3"/>
  <c r="D410" i="3"/>
  <c r="B410" i="3"/>
  <c r="A410" i="3"/>
  <c r="N409" i="3"/>
  <c r="M409" i="3"/>
  <c r="H409" i="3"/>
  <c r="F409" i="3"/>
  <c r="D409" i="3"/>
  <c r="B409" i="3"/>
  <c r="A409" i="3"/>
  <c r="N408" i="3"/>
  <c r="M408" i="3"/>
  <c r="H408" i="3"/>
  <c r="F408" i="3"/>
  <c r="D408" i="3"/>
  <c r="B408" i="3"/>
  <c r="A408" i="3"/>
  <c r="N407" i="3"/>
  <c r="M407" i="3"/>
  <c r="H407" i="3"/>
  <c r="F407" i="3"/>
  <c r="D407" i="3"/>
  <c r="B407" i="3"/>
  <c r="A407" i="3"/>
  <c r="N406" i="3"/>
  <c r="M406" i="3"/>
  <c r="H406" i="3"/>
  <c r="F406" i="3"/>
  <c r="D406" i="3"/>
  <c r="B406" i="3"/>
  <c r="A406" i="3"/>
  <c r="N405" i="3"/>
  <c r="M405" i="3"/>
  <c r="H405" i="3"/>
  <c r="F405" i="3"/>
  <c r="D405" i="3"/>
  <c r="B405" i="3"/>
  <c r="A405" i="3"/>
  <c r="N404" i="3"/>
  <c r="M404" i="3"/>
  <c r="H404" i="3"/>
  <c r="F404" i="3"/>
  <c r="D404" i="3"/>
  <c r="B404" i="3"/>
  <c r="A404" i="3"/>
  <c r="N403" i="3"/>
  <c r="M403" i="3"/>
  <c r="H403" i="3"/>
  <c r="F403" i="3"/>
  <c r="D403" i="3"/>
  <c r="B403" i="3"/>
  <c r="A403" i="3"/>
  <c r="N402" i="3"/>
  <c r="M402" i="3"/>
  <c r="H402" i="3"/>
  <c r="F402" i="3"/>
  <c r="D402" i="3"/>
  <c r="B402" i="3"/>
  <c r="A402" i="3"/>
  <c r="N401" i="3"/>
  <c r="M401" i="3"/>
  <c r="H401" i="3"/>
  <c r="F401" i="3"/>
  <c r="D401" i="3"/>
  <c r="B401" i="3"/>
  <c r="A401" i="3"/>
  <c r="N400" i="3"/>
  <c r="M400" i="3"/>
  <c r="H400" i="3"/>
  <c r="F400" i="3"/>
  <c r="D400" i="3"/>
  <c r="B400" i="3"/>
  <c r="A400" i="3"/>
  <c r="N399" i="3"/>
  <c r="M399" i="3"/>
  <c r="H399" i="3"/>
  <c r="F399" i="3"/>
  <c r="D399" i="3"/>
  <c r="B399" i="3"/>
  <c r="A399" i="3"/>
  <c r="N398" i="3"/>
  <c r="M398" i="3"/>
  <c r="H398" i="3"/>
  <c r="F398" i="3"/>
  <c r="D398" i="3"/>
  <c r="B398" i="3"/>
  <c r="A398" i="3"/>
  <c r="N397" i="3"/>
  <c r="M397" i="3"/>
  <c r="H397" i="3"/>
  <c r="F397" i="3"/>
  <c r="D397" i="3"/>
  <c r="B397" i="3"/>
  <c r="A397" i="3"/>
  <c r="N396" i="3"/>
  <c r="M396" i="3"/>
  <c r="H396" i="3"/>
  <c r="F396" i="3"/>
  <c r="D396" i="3"/>
  <c r="B396" i="3"/>
  <c r="A396" i="3"/>
  <c r="N395" i="3"/>
  <c r="M395" i="3"/>
  <c r="H395" i="3"/>
  <c r="F395" i="3"/>
  <c r="D395" i="3"/>
  <c r="B395" i="3"/>
  <c r="A395" i="3"/>
  <c r="N394" i="3"/>
  <c r="M394" i="3"/>
  <c r="H394" i="3"/>
  <c r="F394" i="3"/>
  <c r="D394" i="3"/>
  <c r="B394" i="3"/>
  <c r="A394" i="3"/>
  <c r="N393" i="3"/>
  <c r="M393" i="3"/>
  <c r="H393" i="3"/>
  <c r="F393" i="3"/>
  <c r="D393" i="3"/>
  <c r="B393" i="3"/>
  <c r="A393" i="3"/>
  <c r="N392" i="3"/>
  <c r="M392" i="3"/>
  <c r="H392" i="3"/>
  <c r="F392" i="3"/>
  <c r="D392" i="3"/>
  <c r="B392" i="3"/>
  <c r="A392" i="3"/>
  <c r="N391" i="3"/>
  <c r="M391" i="3"/>
  <c r="H391" i="3"/>
  <c r="F391" i="3"/>
  <c r="D391" i="3"/>
  <c r="B391" i="3"/>
  <c r="A391" i="3"/>
  <c r="N390" i="3"/>
  <c r="M390" i="3"/>
  <c r="H390" i="3"/>
  <c r="F390" i="3"/>
  <c r="D390" i="3"/>
  <c r="B390" i="3"/>
  <c r="A390" i="3"/>
  <c r="N389" i="3"/>
  <c r="M389" i="3"/>
  <c r="H389" i="3"/>
  <c r="F389" i="3"/>
  <c r="D389" i="3"/>
  <c r="B389" i="3"/>
  <c r="A389" i="3"/>
  <c r="N388" i="3"/>
  <c r="M388" i="3"/>
  <c r="H388" i="3"/>
  <c r="F388" i="3"/>
  <c r="D388" i="3"/>
  <c r="B388" i="3"/>
  <c r="A388" i="3"/>
  <c r="N387" i="3"/>
  <c r="M387" i="3"/>
  <c r="H387" i="3"/>
  <c r="F387" i="3"/>
  <c r="D387" i="3"/>
  <c r="B387" i="3"/>
  <c r="A387" i="3"/>
  <c r="N386" i="3"/>
  <c r="M386" i="3"/>
  <c r="H386" i="3"/>
  <c r="F386" i="3"/>
  <c r="D386" i="3"/>
  <c r="B386" i="3"/>
  <c r="A386" i="3"/>
  <c r="N385" i="3"/>
  <c r="M385" i="3"/>
  <c r="H385" i="3"/>
  <c r="F385" i="3"/>
  <c r="D385" i="3"/>
  <c r="B385" i="3"/>
  <c r="A385" i="3"/>
  <c r="N384" i="3"/>
  <c r="M384" i="3"/>
  <c r="H384" i="3"/>
  <c r="F384" i="3"/>
  <c r="D384" i="3"/>
  <c r="B384" i="3"/>
  <c r="A384" i="3"/>
  <c r="N383" i="3"/>
  <c r="M383" i="3"/>
  <c r="H383" i="3"/>
  <c r="F383" i="3"/>
  <c r="D383" i="3"/>
  <c r="B383" i="3"/>
  <c r="A383" i="3"/>
  <c r="N382" i="3"/>
  <c r="M382" i="3"/>
  <c r="H382" i="3"/>
  <c r="F382" i="3"/>
  <c r="D382" i="3"/>
  <c r="B382" i="3"/>
  <c r="A382" i="3"/>
  <c r="N381" i="3"/>
  <c r="M381" i="3"/>
  <c r="H381" i="3"/>
  <c r="F381" i="3"/>
  <c r="D381" i="3"/>
  <c r="B381" i="3"/>
  <c r="A381" i="3"/>
  <c r="N380" i="3"/>
  <c r="M380" i="3"/>
  <c r="H380" i="3"/>
  <c r="F380" i="3"/>
  <c r="D380" i="3"/>
  <c r="B380" i="3"/>
  <c r="A380" i="3"/>
  <c r="N379" i="3"/>
  <c r="M379" i="3"/>
  <c r="H379" i="3"/>
  <c r="F379" i="3"/>
  <c r="D379" i="3"/>
  <c r="B379" i="3"/>
  <c r="A379" i="3"/>
  <c r="N378" i="3"/>
  <c r="M378" i="3"/>
  <c r="H378" i="3"/>
  <c r="F378" i="3"/>
  <c r="D378" i="3"/>
  <c r="B378" i="3"/>
  <c r="A378" i="3"/>
  <c r="N377" i="3"/>
  <c r="M377" i="3"/>
  <c r="H377" i="3"/>
  <c r="F377" i="3"/>
  <c r="D377" i="3"/>
  <c r="B377" i="3"/>
  <c r="A377" i="3"/>
  <c r="N376" i="3"/>
  <c r="M376" i="3"/>
  <c r="H376" i="3"/>
  <c r="F376" i="3"/>
  <c r="D376" i="3"/>
  <c r="B376" i="3"/>
  <c r="A376" i="3"/>
  <c r="N375" i="3"/>
  <c r="M375" i="3"/>
  <c r="H375" i="3"/>
  <c r="F375" i="3"/>
  <c r="D375" i="3"/>
  <c r="B375" i="3"/>
  <c r="A375" i="3"/>
  <c r="N374" i="3"/>
  <c r="M374" i="3"/>
  <c r="H374" i="3"/>
  <c r="F374" i="3"/>
  <c r="D374" i="3"/>
  <c r="B374" i="3"/>
  <c r="A374" i="3"/>
  <c r="N373" i="3"/>
  <c r="M373" i="3"/>
  <c r="H373" i="3"/>
  <c r="F373" i="3"/>
  <c r="D373" i="3"/>
  <c r="B373" i="3"/>
  <c r="A373" i="3"/>
  <c r="N372" i="3"/>
  <c r="M372" i="3"/>
  <c r="H372" i="3"/>
  <c r="F372" i="3"/>
  <c r="D372" i="3"/>
  <c r="B372" i="3"/>
  <c r="A372" i="3"/>
  <c r="N371" i="3"/>
  <c r="M371" i="3"/>
  <c r="H371" i="3"/>
  <c r="F371" i="3"/>
  <c r="D371" i="3"/>
  <c r="B371" i="3"/>
  <c r="A371" i="3"/>
  <c r="N370" i="3"/>
  <c r="M370" i="3"/>
  <c r="H370" i="3"/>
  <c r="F370" i="3"/>
  <c r="D370" i="3"/>
  <c r="B370" i="3"/>
  <c r="A370" i="3"/>
  <c r="N369" i="3"/>
  <c r="M369" i="3"/>
  <c r="H369" i="3"/>
  <c r="F369" i="3"/>
  <c r="D369" i="3"/>
  <c r="B369" i="3"/>
  <c r="A369" i="3"/>
  <c r="N368" i="3"/>
  <c r="M368" i="3"/>
  <c r="H368" i="3"/>
  <c r="F368" i="3"/>
  <c r="D368" i="3"/>
  <c r="B368" i="3"/>
  <c r="A368" i="3"/>
  <c r="N367" i="3"/>
  <c r="M367" i="3"/>
  <c r="H367" i="3"/>
  <c r="F367" i="3"/>
  <c r="D367" i="3"/>
  <c r="B367" i="3"/>
  <c r="A367" i="3"/>
  <c r="N366" i="3"/>
  <c r="M366" i="3"/>
  <c r="H366" i="3"/>
  <c r="F366" i="3"/>
  <c r="D366" i="3"/>
  <c r="B366" i="3"/>
  <c r="A366" i="3"/>
  <c r="N365" i="3"/>
  <c r="M365" i="3"/>
  <c r="H365" i="3"/>
  <c r="F365" i="3"/>
  <c r="D365" i="3"/>
  <c r="B365" i="3"/>
  <c r="A365" i="3"/>
  <c r="N364" i="3"/>
  <c r="M364" i="3"/>
  <c r="H364" i="3"/>
  <c r="F364" i="3"/>
  <c r="D364" i="3"/>
  <c r="B364" i="3"/>
  <c r="A364" i="3"/>
  <c r="N363" i="3"/>
  <c r="M363" i="3"/>
  <c r="H363" i="3"/>
  <c r="F363" i="3"/>
  <c r="D363" i="3"/>
  <c r="B363" i="3"/>
  <c r="A363" i="3"/>
  <c r="N362" i="3"/>
  <c r="M362" i="3"/>
  <c r="H362" i="3"/>
  <c r="F362" i="3"/>
  <c r="D362" i="3"/>
  <c r="B362" i="3"/>
  <c r="A362" i="3"/>
  <c r="N361" i="3"/>
  <c r="M361" i="3"/>
  <c r="H361" i="3"/>
  <c r="F361" i="3"/>
  <c r="D361" i="3"/>
  <c r="B361" i="3"/>
  <c r="A361" i="3"/>
  <c r="N360" i="3"/>
  <c r="M360" i="3"/>
  <c r="H360" i="3"/>
  <c r="F360" i="3"/>
  <c r="D360" i="3"/>
  <c r="B360" i="3"/>
  <c r="A360" i="3"/>
  <c r="N359" i="3"/>
  <c r="M359" i="3"/>
  <c r="H359" i="3"/>
  <c r="F359" i="3"/>
  <c r="D359" i="3"/>
  <c r="B359" i="3"/>
  <c r="A359" i="3"/>
  <c r="N358" i="3"/>
  <c r="M358" i="3"/>
  <c r="H358" i="3"/>
  <c r="F358" i="3"/>
  <c r="D358" i="3"/>
  <c r="B358" i="3"/>
  <c r="A358" i="3"/>
  <c r="N357" i="3"/>
  <c r="M357" i="3"/>
  <c r="H357" i="3"/>
  <c r="F357" i="3"/>
  <c r="D357" i="3"/>
  <c r="B357" i="3"/>
  <c r="A357" i="3"/>
  <c r="N356" i="3"/>
  <c r="M356" i="3"/>
  <c r="H356" i="3"/>
  <c r="F356" i="3"/>
  <c r="D356" i="3"/>
  <c r="B356" i="3"/>
  <c r="A356" i="3"/>
  <c r="N355" i="3"/>
  <c r="M355" i="3"/>
  <c r="H355" i="3"/>
  <c r="F355" i="3"/>
  <c r="D355" i="3"/>
  <c r="B355" i="3"/>
  <c r="A355" i="3"/>
  <c r="N354" i="3"/>
  <c r="M354" i="3"/>
  <c r="H354" i="3"/>
  <c r="F354" i="3"/>
  <c r="D354" i="3"/>
  <c r="B354" i="3"/>
  <c r="A354" i="3"/>
  <c r="N353" i="3"/>
  <c r="M353" i="3"/>
  <c r="H353" i="3"/>
  <c r="F353" i="3"/>
  <c r="D353" i="3"/>
  <c r="B353" i="3"/>
  <c r="A353" i="3"/>
  <c r="N352" i="3"/>
  <c r="M352" i="3"/>
  <c r="H352" i="3"/>
  <c r="F352" i="3"/>
  <c r="D352" i="3"/>
  <c r="B352" i="3"/>
  <c r="A352" i="3"/>
  <c r="N351" i="3"/>
  <c r="M351" i="3"/>
  <c r="H351" i="3"/>
  <c r="F351" i="3"/>
  <c r="D351" i="3"/>
  <c r="B351" i="3"/>
  <c r="A351" i="3"/>
  <c r="N350" i="3"/>
  <c r="M350" i="3"/>
  <c r="H350" i="3"/>
  <c r="F350" i="3"/>
  <c r="D350" i="3"/>
  <c r="B350" i="3"/>
  <c r="A350" i="3"/>
  <c r="N349" i="3"/>
  <c r="M349" i="3"/>
  <c r="H349" i="3"/>
  <c r="F349" i="3"/>
  <c r="D349" i="3"/>
  <c r="B349" i="3"/>
  <c r="A349" i="3"/>
  <c r="N348" i="3"/>
  <c r="M348" i="3"/>
  <c r="H348" i="3"/>
  <c r="F348" i="3"/>
  <c r="D348" i="3"/>
  <c r="B348" i="3"/>
  <c r="A348" i="3"/>
  <c r="N347" i="3"/>
  <c r="M347" i="3"/>
  <c r="H347" i="3"/>
  <c r="F347" i="3"/>
  <c r="D347" i="3"/>
  <c r="B347" i="3"/>
  <c r="A347" i="3"/>
  <c r="N346" i="3"/>
  <c r="M346" i="3"/>
  <c r="H346" i="3"/>
  <c r="F346" i="3"/>
  <c r="D346" i="3"/>
  <c r="B346" i="3"/>
  <c r="A346" i="3"/>
  <c r="N345" i="3"/>
  <c r="M345" i="3"/>
  <c r="H345" i="3"/>
  <c r="F345" i="3"/>
  <c r="D345" i="3"/>
  <c r="B345" i="3"/>
  <c r="A345" i="3"/>
  <c r="N344" i="3"/>
  <c r="M344" i="3"/>
  <c r="H344" i="3"/>
  <c r="F344" i="3"/>
  <c r="D344" i="3"/>
  <c r="B344" i="3"/>
  <c r="A344" i="3"/>
  <c r="N343" i="3"/>
  <c r="M343" i="3"/>
  <c r="H343" i="3"/>
  <c r="F343" i="3"/>
  <c r="D343" i="3"/>
  <c r="B343" i="3"/>
  <c r="A343" i="3"/>
  <c r="N342" i="3"/>
  <c r="M342" i="3"/>
  <c r="H342" i="3"/>
  <c r="F342" i="3"/>
  <c r="D342" i="3"/>
  <c r="B342" i="3"/>
  <c r="A342" i="3"/>
  <c r="N341" i="3"/>
  <c r="M341" i="3"/>
  <c r="H341" i="3"/>
  <c r="F341" i="3"/>
  <c r="D341" i="3"/>
  <c r="B341" i="3"/>
  <c r="A341" i="3"/>
  <c r="N340" i="3"/>
  <c r="M340" i="3"/>
  <c r="H340" i="3"/>
  <c r="F340" i="3"/>
  <c r="D340" i="3"/>
  <c r="B340" i="3"/>
  <c r="A340" i="3"/>
  <c r="N339" i="3"/>
  <c r="M339" i="3"/>
  <c r="H339" i="3"/>
  <c r="F339" i="3"/>
  <c r="D339" i="3"/>
  <c r="B339" i="3"/>
  <c r="A339" i="3"/>
  <c r="N338" i="3"/>
  <c r="M338" i="3"/>
  <c r="H338" i="3"/>
  <c r="F338" i="3"/>
  <c r="D338" i="3"/>
  <c r="B338" i="3"/>
  <c r="A338" i="3"/>
  <c r="N337" i="3"/>
  <c r="M337" i="3"/>
  <c r="H337" i="3"/>
  <c r="F337" i="3"/>
  <c r="D337" i="3"/>
  <c r="B337" i="3"/>
  <c r="A337" i="3"/>
  <c r="N336" i="3"/>
  <c r="M336" i="3"/>
  <c r="H336" i="3"/>
  <c r="F336" i="3"/>
  <c r="D336" i="3"/>
  <c r="B336" i="3"/>
  <c r="A336" i="3"/>
  <c r="N335" i="3"/>
  <c r="M335" i="3"/>
  <c r="H335" i="3"/>
  <c r="F335" i="3"/>
  <c r="D335" i="3"/>
  <c r="B335" i="3"/>
  <c r="A335" i="3"/>
  <c r="N334" i="3"/>
  <c r="M334" i="3"/>
  <c r="H334" i="3"/>
  <c r="F334" i="3"/>
  <c r="D334" i="3"/>
  <c r="B334" i="3"/>
  <c r="A334" i="3"/>
  <c r="N333" i="3"/>
  <c r="M333" i="3"/>
  <c r="H333" i="3"/>
  <c r="F333" i="3"/>
  <c r="D333" i="3"/>
  <c r="B333" i="3"/>
  <c r="A333" i="3"/>
  <c r="N332" i="3"/>
  <c r="M332" i="3"/>
  <c r="H332" i="3"/>
  <c r="F332" i="3"/>
  <c r="D332" i="3"/>
  <c r="B332" i="3"/>
  <c r="A332" i="3"/>
  <c r="N331" i="3"/>
  <c r="M331" i="3"/>
  <c r="H331" i="3"/>
  <c r="F331" i="3"/>
  <c r="D331" i="3"/>
  <c r="B331" i="3"/>
  <c r="A331" i="3"/>
  <c r="N330" i="3"/>
  <c r="M330" i="3"/>
  <c r="H330" i="3"/>
  <c r="F330" i="3"/>
  <c r="D330" i="3"/>
  <c r="B330" i="3"/>
  <c r="A330" i="3"/>
  <c r="N329" i="3"/>
  <c r="M329" i="3"/>
  <c r="H329" i="3"/>
  <c r="F329" i="3"/>
  <c r="D329" i="3"/>
  <c r="B329" i="3"/>
  <c r="A329" i="3"/>
  <c r="N328" i="3"/>
  <c r="M328" i="3"/>
  <c r="H328" i="3"/>
  <c r="F328" i="3"/>
  <c r="D328" i="3"/>
  <c r="B328" i="3"/>
  <c r="A328" i="3"/>
  <c r="N327" i="3"/>
  <c r="M327" i="3"/>
  <c r="H327" i="3"/>
  <c r="F327" i="3"/>
  <c r="D327" i="3"/>
  <c r="B327" i="3"/>
  <c r="A327" i="3"/>
  <c r="N326" i="3"/>
  <c r="M326" i="3"/>
  <c r="H326" i="3"/>
  <c r="F326" i="3"/>
  <c r="D326" i="3"/>
  <c r="B326" i="3"/>
  <c r="A326" i="3"/>
  <c r="N325" i="3"/>
  <c r="M325" i="3"/>
  <c r="H325" i="3"/>
  <c r="F325" i="3"/>
  <c r="D325" i="3"/>
  <c r="B325" i="3"/>
  <c r="A325" i="3"/>
  <c r="N324" i="3"/>
  <c r="M324" i="3"/>
  <c r="H324" i="3"/>
  <c r="F324" i="3"/>
  <c r="D324" i="3"/>
  <c r="B324" i="3"/>
  <c r="A324" i="3"/>
  <c r="N323" i="3"/>
  <c r="M323" i="3"/>
  <c r="H323" i="3"/>
  <c r="F323" i="3"/>
  <c r="D323" i="3"/>
  <c r="B323" i="3"/>
  <c r="A323" i="3"/>
  <c r="N322" i="3"/>
  <c r="M322" i="3"/>
  <c r="H322" i="3"/>
  <c r="F322" i="3"/>
  <c r="D322" i="3"/>
  <c r="B322" i="3"/>
  <c r="A322" i="3"/>
  <c r="N321" i="3"/>
  <c r="M321" i="3"/>
  <c r="H321" i="3"/>
  <c r="F321" i="3"/>
  <c r="D321" i="3"/>
  <c r="B321" i="3"/>
  <c r="A321" i="3"/>
  <c r="N320" i="3"/>
  <c r="M320" i="3"/>
  <c r="H320" i="3"/>
  <c r="F320" i="3"/>
  <c r="D320" i="3"/>
  <c r="B320" i="3"/>
  <c r="A320" i="3"/>
  <c r="N319" i="3"/>
  <c r="M319" i="3"/>
  <c r="H319" i="3"/>
  <c r="F319" i="3"/>
  <c r="D319" i="3"/>
  <c r="B319" i="3"/>
  <c r="A319" i="3"/>
  <c r="N318" i="3"/>
  <c r="M318" i="3"/>
  <c r="H318" i="3"/>
  <c r="F318" i="3"/>
  <c r="D318" i="3"/>
  <c r="B318" i="3"/>
  <c r="A318" i="3"/>
  <c r="N317" i="3"/>
  <c r="M317" i="3"/>
  <c r="H317" i="3"/>
  <c r="F317" i="3"/>
  <c r="D317" i="3"/>
  <c r="B317" i="3"/>
  <c r="A317" i="3"/>
  <c r="N316" i="3"/>
  <c r="M316" i="3"/>
  <c r="H316" i="3"/>
  <c r="F316" i="3"/>
  <c r="D316" i="3"/>
  <c r="B316" i="3"/>
  <c r="A316" i="3"/>
  <c r="N315" i="3"/>
  <c r="M315" i="3"/>
  <c r="H315" i="3"/>
  <c r="F315" i="3"/>
  <c r="D315" i="3"/>
  <c r="B315" i="3"/>
  <c r="A315" i="3"/>
  <c r="N314" i="3"/>
  <c r="M314" i="3"/>
  <c r="H314" i="3"/>
  <c r="F314" i="3"/>
  <c r="D314" i="3"/>
  <c r="B314" i="3"/>
  <c r="A314" i="3"/>
  <c r="N313" i="3"/>
  <c r="M313" i="3"/>
  <c r="H313" i="3"/>
  <c r="F313" i="3"/>
  <c r="D313" i="3"/>
  <c r="B313" i="3"/>
  <c r="A313" i="3"/>
  <c r="N312" i="3"/>
  <c r="M312" i="3"/>
  <c r="H312" i="3"/>
  <c r="F312" i="3"/>
  <c r="D312" i="3"/>
  <c r="B312" i="3"/>
  <c r="A312" i="3"/>
  <c r="N311" i="3"/>
  <c r="M311" i="3"/>
  <c r="H311" i="3"/>
  <c r="F311" i="3"/>
  <c r="D311" i="3"/>
  <c r="B311" i="3"/>
  <c r="A311" i="3"/>
  <c r="N310" i="3"/>
  <c r="M310" i="3"/>
  <c r="H310" i="3"/>
  <c r="F310" i="3"/>
  <c r="D310" i="3"/>
  <c r="B310" i="3"/>
  <c r="A310" i="3"/>
  <c r="N309" i="3"/>
  <c r="M309" i="3"/>
  <c r="H309" i="3"/>
  <c r="F309" i="3"/>
  <c r="D309" i="3"/>
  <c r="B309" i="3"/>
  <c r="A309" i="3"/>
  <c r="N308" i="3"/>
  <c r="M308" i="3"/>
  <c r="H308" i="3"/>
  <c r="F308" i="3"/>
  <c r="D308" i="3"/>
  <c r="B308" i="3"/>
  <c r="A308" i="3"/>
  <c r="N307" i="3"/>
  <c r="M307" i="3"/>
  <c r="H307" i="3"/>
  <c r="F307" i="3"/>
  <c r="D307" i="3"/>
  <c r="B307" i="3"/>
  <c r="A307" i="3"/>
  <c r="N306" i="3"/>
  <c r="M306" i="3"/>
  <c r="H306" i="3"/>
  <c r="F306" i="3"/>
  <c r="D306" i="3"/>
  <c r="B306" i="3"/>
  <c r="A306" i="3"/>
  <c r="N305" i="3"/>
  <c r="M305" i="3"/>
  <c r="H305" i="3"/>
  <c r="F305" i="3"/>
  <c r="D305" i="3"/>
  <c r="B305" i="3"/>
  <c r="A305" i="3"/>
  <c r="N304" i="3"/>
  <c r="M304" i="3"/>
  <c r="H304" i="3"/>
  <c r="F304" i="3"/>
  <c r="D304" i="3"/>
  <c r="B304" i="3"/>
  <c r="A304" i="3"/>
  <c r="N303" i="3"/>
  <c r="M303" i="3"/>
  <c r="H303" i="3"/>
  <c r="F303" i="3"/>
  <c r="D303" i="3"/>
  <c r="B303" i="3"/>
  <c r="A303" i="3"/>
  <c r="N302" i="3"/>
  <c r="M302" i="3"/>
  <c r="H302" i="3"/>
  <c r="F302" i="3"/>
  <c r="D302" i="3"/>
  <c r="B302" i="3"/>
  <c r="A302" i="3"/>
  <c r="N301" i="3"/>
  <c r="M301" i="3"/>
  <c r="H301" i="3"/>
  <c r="F301" i="3"/>
  <c r="D301" i="3"/>
  <c r="B301" i="3"/>
  <c r="A301" i="3"/>
  <c r="N300" i="3"/>
  <c r="M300" i="3"/>
  <c r="H300" i="3"/>
  <c r="F300" i="3"/>
  <c r="D300" i="3"/>
  <c r="B300" i="3"/>
  <c r="A300" i="3"/>
  <c r="N299" i="3"/>
  <c r="M299" i="3"/>
  <c r="H299" i="3"/>
  <c r="F299" i="3"/>
  <c r="D299" i="3"/>
  <c r="B299" i="3"/>
  <c r="A299" i="3"/>
  <c r="N298" i="3"/>
  <c r="M298" i="3"/>
  <c r="H298" i="3"/>
  <c r="F298" i="3"/>
  <c r="D298" i="3"/>
  <c r="B298" i="3"/>
  <c r="A298" i="3"/>
  <c r="N297" i="3"/>
  <c r="M297" i="3"/>
  <c r="H297" i="3"/>
  <c r="F297" i="3"/>
  <c r="D297" i="3"/>
  <c r="B297" i="3"/>
  <c r="A297" i="3"/>
  <c r="N296" i="3"/>
  <c r="M296" i="3"/>
  <c r="H296" i="3"/>
  <c r="F296" i="3"/>
  <c r="D296" i="3"/>
  <c r="B296" i="3"/>
  <c r="A296" i="3"/>
  <c r="N295" i="3"/>
  <c r="M295" i="3"/>
  <c r="H295" i="3"/>
  <c r="F295" i="3"/>
  <c r="D295" i="3"/>
  <c r="B295" i="3"/>
  <c r="A295" i="3"/>
  <c r="N294" i="3"/>
  <c r="M294" i="3"/>
  <c r="H294" i="3"/>
  <c r="F294" i="3"/>
  <c r="D294" i="3"/>
  <c r="B294" i="3"/>
  <c r="A294" i="3"/>
  <c r="N293" i="3"/>
  <c r="M293" i="3"/>
  <c r="H293" i="3"/>
  <c r="F293" i="3"/>
  <c r="D293" i="3"/>
  <c r="B293" i="3"/>
  <c r="A293" i="3"/>
  <c r="N292" i="3"/>
  <c r="M292" i="3"/>
  <c r="H292" i="3"/>
  <c r="F292" i="3"/>
  <c r="D292" i="3"/>
  <c r="B292" i="3"/>
  <c r="A292" i="3"/>
  <c r="N291" i="3"/>
  <c r="M291" i="3"/>
  <c r="H291" i="3"/>
  <c r="F291" i="3"/>
  <c r="D291" i="3"/>
  <c r="B291" i="3"/>
  <c r="A291" i="3"/>
  <c r="N290" i="3"/>
  <c r="M290" i="3"/>
  <c r="H290" i="3"/>
  <c r="F290" i="3"/>
  <c r="D290" i="3"/>
  <c r="B290" i="3"/>
  <c r="A290" i="3"/>
  <c r="N289" i="3"/>
  <c r="M289" i="3"/>
  <c r="H289" i="3"/>
  <c r="F289" i="3"/>
  <c r="D289" i="3"/>
  <c r="B289" i="3"/>
  <c r="A289" i="3"/>
  <c r="N288" i="3"/>
  <c r="M288" i="3"/>
  <c r="H288" i="3"/>
  <c r="F288" i="3"/>
  <c r="D288" i="3"/>
  <c r="B288" i="3"/>
  <c r="A288" i="3"/>
  <c r="N287" i="3"/>
  <c r="M287" i="3"/>
  <c r="H287" i="3"/>
  <c r="F287" i="3"/>
  <c r="D287" i="3"/>
  <c r="B287" i="3"/>
  <c r="A287" i="3"/>
  <c r="N286" i="3"/>
  <c r="M286" i="3"/>
  <c r="H286" i="3"/>
  <c r="F286" i="3"/>
  <c r="D286" i="3"/>
  <c r="B286" i="3"/>
  <c r="A286" i="3"/>
  <c r="N285" i="3"/>
  <c r="M285" i="3"/>
  <c r="H285" i="3"/>
  <c r="F285" i="3"/>
  <c r="D285" i="3"/>
  <c r="B285" i="3"/>
  <c r="A285" i="3"/>
  <c r="N284" i="3"/>
  <c r="M284" i="3"/>
  <c r="H284" i="3"/>
  <c r="F284" i="3"/>
  <c r="D284" i="3"/>
  <c r="B284" i="3"/>
  <c r="A284" i="3"/>
  <c r="N283" i="3"/>
  <c r="M283" i="3"/>
  <c r="H283" i="3"/>
  <c r="F283" i="3"/>
  <c r="D283" i="3"/>
  <c r="B283" i="3"/>
  <c r="A283" i="3"/>
  <c r="N282" i="3"/>
  <c r="M282" i="3"/>
  <c r="H282" i="3"/>
  <c r="F282" i="3"/>
  <c r="D282" i="3"/>
  <c r="B282" i="3"/>
  <c r="A282" i="3"/>
  <c r="N281" i="3"/>
  <c r="M281" i="3"/>
  <c r="H281" i="3"/>
  <c r="F281" i="3"/>
  <c r="D281" i="3"/>
  <c r="B281" i="3"/>
  <c r="A281" i="3"/>
  <c r="N280" i="3"/>
  <c r="M280" i="3"/>
  <c r="H280" i="3"/>
  <c r="F280" i="3"/>
  <c r="D280" i="3"/>
  <c r="B280" i="3"/>
  <c r="A280" i="3"/>
  <c r="N279" i="3"/>
  <c r="M279" i="3"/>
  <c r="H279" i="3"/>
  <c r="F279" i="3"/>
  <c r="D279" i="3"/>
  <c r="B279" i="3"/>
  <c r="A279" i="3"/>
  <c r="N278" i="3"/>
  <c r="M278" i="3"/>
  <c r="H278" i="3"/>
  <c r="F278" i="3"/>
  <c r="D278" i="3"/>
  <c r="B278" i="3"/>
  <c r="A278" i="3"/>
  <c r="N277" i="3"/>
  <c r="M277" i="3"/>
  <c r="H277" i="3"/>
  <c r="F277" i="3"/>
  <c r="D277" i="3"/>
  <c r="B277" i="3"/>
  <c r="A277" i="3"/>
  <c r="N276" i="3"/>
  <c r="M276" i="3"/>
  <c r="H276" i="3"/>
  <c r="F276" i="3"/>
  <c r="D276" i="3"/>
  <c r="B276" i="3"/>
  <c r="A276" i="3"/>
  <c r="N275" i="3"/>
  <c r="M275" i="3"/>
  <c r="H275" i="3"/>
  <c r="F275" i="3"/>
  <c r="D275" i="3"/>
  <c r="B275" i="3"/>
  <c r="A275" i="3"/>
  <c r="N274" i="3"/>
  <c r="M274" i="3"/>
  <c r="H274" i="3"/>
  <c r="F274" i="3"/>
  <c r="D274" i="3"/>
  <c r="B274" i="3"/>
  <c r="A274" i="3"/>
  <c r="N273" i="3"/>
  <c r="M273" i="3"/>
  <c r="H273" i="3"/>
  <c r="F273" i="3"/>
  <c r="D273" i="3"/>
  <c r="B273" i="3"/>
  <c r="A273" i="3"/>
  <c r="N272" i="3"/>
  <c r="M272" i="3"/>
  <c r="H272" i="3"/>
  <c r="F272" i="3"/>
  <c r="D272" i="3"/>
  <c r="B272" i="3"/>
  <c r="A272" i="3"/>
  <c r="N271" i="3"/>
  <c r="M271" i="3"/>
  <c r="H271" i="3"/>
  <c r="F271" i="3"/>
  <c r="D271" i="3"/>
  <c r="B271" i="3"/>
  <c r="A271" i="3"/>
  <c r="N270" i="3"/>
  <c r="M270" i="3"/>
  <c r="H270" i="3"/>
  <c r="F270" i="3"/>
  <c r="D270" i="3"/>
  <c r="B270" i="3"/>
  <c r="A270" i="3"/>
  <c r="N269" i="3"/>
  <c r="M269" i="3"/>
  <c r="H269" i="3"/>
  <c r="F269" i="3"/>
  <c r="D269" i="3"/>
  <c r="B269" i="3"/>
  <c r="A269" i="3"/>
  <c r="N268" i="3"/>
  <c r="M268" i="3"/>
  <c r="H268" i="3"/>
  <c r="F268" i="3"/>
  <c r="D268" i="3"/>
  <c r="B268" i="3"/>
  <c r="A268" i="3"/>
  <c r="N267" i="3"/>
  <c r="M267" i="3"/>
  <c r="H267" i="3"/>
  <c r="F267" i="3"/>
  <c r="D267" i="3"/>
  <c r="B267" i="3"/>
  <c r="A267" i="3"/>
  <c r="N266" i="3"/>
  <c r="M266" i="3"/>
  <c r="H266" i="3"/>
  <c r="F266" i="3"/>
  <c r="D266" i="3"/>
  <c r="B266" i="3"/>
  <c r="A266" i="3"/>
  <c r="N265" i="3"/>
  <c r="M265" i="3"/>
  <c r="H265" i="3"/>
  <c r="F265" i="3"/>
  <c r="D265" i="3"/>
  <c r="B265" i="3"/>
  <c r="A265" i="3"/>
  <c r="N264" i="3"/>
  <c r="M264" i="3"/>
  <c r="H264" i="3"/>
  <c r="F264" i="3"/>
  <c r="D264" i="3"/>
  <c r="B264" i="3"/>
  <c r="A264" i="3"/>
  <c r="N263" i="3"/>
  <c r="M263" i="3"/>
  <c r="H263" i="3"/>
  <c r="F263" i="3"/>
  <c r="D263" i="3"/>
  <c r="B263" i="3"/>
  <c r="A263" i="3"/>
  <c r="N262" i="3"/>
  <c r="M262" i="3"/>
  <c r="H262" i="3"/>
  <c r="F262" i="3"/>
  <c r="D262" i="3"/>
  <c r="B262" i="3"/>
  <c r="A262" i="3"/>
  <c r="N261" i="3"/>
  <c r="M261" i="3"/>
  <c r="H261" i="3"/>
  <c r="F261" i="3"/>
  <c r="D261" i="3"/>
  <c r="B261" i="3"/>
  <c r="A261" i="3"/>
  <c r="N260" i="3"/>
  <c r="M260" i="3"/>
  <c r="H260" i="3"/>
  <c r="F260" i="3"/>
  <c r="D260" i="3"/>
  <c r="B260" i="3"/>
  <c r="A260" i="3"/>
  <c r="N259" i="3"/>
  <c r="M259" i="3"/>
  <c r="H259" i="3"/>
  <c r="F259" i="3"/>
  <c r="D259" i="3"/>
  <c r="B259" i="3"/>
  <c r="A259" i="3"/>
  <c r="N258" i="3"/>
  <c r="M258" i="3"/>
  <c r="H258" i="3"/>
  <c r="F258" i="3"/>
  <c r="D258" i="3"/>
  <c r="B258" i="3"/>
  <c r="A258" i="3"/>
  <c r="N257" i="3"/>
  <c r="M257" i="3"/>
  <c r="H257" i="3"/>
  <c r="F257" i="3"/>
  <c r="D257" i="3"/>
  <c r="B257" i="3"/>
  <c r="A257" i="3"/>
  <c r="N256" i="3"/>
  <c r="M256" i="3"/>
  <c r="H256" i="3"/>
  <c r="F256" i="3"/>
  <c r="D256" i="3"/>
  <c r="B256" i="3"/>
  <c r="A256" i="3"/>
  <c r="N255" i="3"/>
  <c r="M255" i="3"/>
  <c r="H255" i="3"/>
  <c r="F255" i="3"/>
  <c r="D255" i="3"/>
  <c r="B255" i="3"/>
  <c r="A255" i="3"/>
  <c r="N254" i="3"/>
  <c r="M254" i="3"/>
  <c r="H254" i="3"/>
  <c r="F254" i="3"/>
  <c r="D254" i="3"/>
  <c r="B254" i="3"/>
  <c r="A254" i="3"/>
  <c r="N253" i="3"/>
  <c r="M253" i="3"/>
  <c r="H253" i="3"/>
  <c r="F253" i="3"/>
  <c r="D253" i="3"/>
  <c r="B253" i="3"/>
  <c r="A253" i="3"/>
  <c r="N252" i="3"/>
  <c r="M252" i="3"/>
  <c r="H252" i="3"/>
  <c r="F252" i="3"/>
  <c r="D252" i="3"/>
  <c r="B252" i="3"/>
  <c r="A252" i="3"/>
  <c r="N251" i="3"/>
  <c r="M251" i="3"/>
  <c r="H251" i="3"/>
  <c r="F251" i="3"/>
  <c r="D251" i="3"/>
  <c r="B251" i="3"/>
  <c r="A251" i="3"/>
  <c r="N250" i="3"/>
  <c r="M250" i="3"/>
  <c r="H250" i="3"/>
  <c r="F250" i="3"/>
  <c r="D250" i="3"/>
  <c r="B250" i="3"/>
  <c r="A250" i="3"/>
  <c r="N249" i="3"/>
  <c r="M249" i="3"/>
  <c r="H249" i="3"/>
  <c r="F249" i="3"/>
  <c r="D249" i="3"/>
  <c r="B249" i="3"/>
  <c r="A249" i="3"/>
  <c r="N248" i="3"/>
  <c r="M248" i="3"/>
  <c r="H248" i="3"/>
  <c r="F248" i="3"/>
  <c r="D248" i="3"/>
  <c r="B248" i="3"/>
  <c r="A248" i="3"/>
  <c r="N247" i="3"/>
  <c r="M247" i="3"/>
  <c r="H247" i="3"/>
  <c r="F247" i="3"/>
  <c r="D247" i="3"/>
  <c r="B247" i="3"/>
  <c r="A247" i="3"/>
  <c r="N246" i="3"/>
  <c r="M246" i="3"/>
  <c r="H246" i="3"/>
  <c r="F246" i="3"/>
  <c r="D246" i="3"/>
  <c r="B246" i="3"/>
  <c r="A246" i="3"/>
  <c r="N245" i="3"/>
  <c r="M245" i="3"/>
  <c r="H245" i="3"/>
  <c r="F245" i="3"/>
  <c r="D245" i="3"/>
  <c r="B245" i="3"/>
  <c r="A245" i="3"/>
  <c r="N244" i="3"/>
  <c r="M244" i="3"/>
  <c r="H244" i="3"/>
  <c r="F244" i="3"/>
  <c r="D244" i="3"/>
  <c r="B244" i="3"/>
  <c r="A244" i="3"/>
  <c r="N243" i="3"/>
  <c r="M243" i="3"/>
  <c r="H243" i="3"/>
  <c r="F243" i="3"/>
  <c r="D243" i="3"/>
  <c r="B243" i="3"/>
  <c r="A243" i="3"/>
  <c r="N242" i="3"/>
  <c r="M242" i="3"/>
  <c r="H242" i="3"/>
  <c r="F242" i="3"/>
  <c r="D242" i="3"/>
  <c r="B242" i="3"/>
  <c r="A242" i="3"/>
  <c r="N241" i="3"/>
  <c r="M241" i="3"/>
  <c r="H241" i="3"/>
  <c r="F241" i="3"/>
  <c r="D241" i="3"/>
  <c r="B241" i="3"/>
  <c r="A241" i="3"/>
  <c r="N240" i="3"/>
  <c r="M240" i="3"/>
  <c r="H240" i="3"/>
  <c r="F240" i="3"/>
  <c r="D240" i="3"/>
  <c r="B240" i="3"/>
  <c r="A240" i="3"/>
  <c r="N239" i="3"/>
  <c r="M239" i="3"/>
  <c r="H239" i="3"/>
  <c r="F239" i="3"/>
  <c r="D239" i="3"/>
  <c r="B239" i="3"/>
  <c r="A239" i="3"/>
  <c r="N238" i="3"/>
  <c r="M238" i="3"/>
  <c r="H238" i="3"/>
  <c r="F238" i="3"/>
  <c r="D238" i="3"/>
  <c r="B238" i="3"/>
  <c r="A238" i="3"/>
  <c r="N237" i="3"/>
  <c r="M237" i="3"/>
  <c r="H237" i="3"/>
  <c r="F237" i="3"/>
  <c r="D237" i="3"/>
  <c r="B237" i="3"/>
  <c r="A237" i="3"/>
  <c r="N236" i="3"/>
  <c r="M236" i="3"/>
  <c r="H236" i="3"/>
  <c r="F236" i="3"/>
  <c r="D236" i="3"/>
  <c r="B236" i="3"/>
  <c r="A236" i="3"/>
  <c r="N235" i="3"/>
  <c r="M235" i="3"/>
  <c r="H235" i="3"/>
  <c r="F235" i="3"/>
  <c r="D235" i="3"/>
  <c r="B235" i="3"/>
  <c r="A235" i="3"/>
  <c r="N234" i="3"/>
  <c r="M234" i="3"/>
  <c r="H234" i="3"/>
  <c r="F234" i="3"/>
  <c r="D234" i="3"/>
  <c r="B234" i="3"/>
  <c r="A234" i="3"/>
  <c r="N233" i="3"/>
  <c r="M233" i="3"/>
  <c r="H233" i="3"/>
  <c r="F233" i="3"/>
  <c r="D233" i="3"/>
  <c r="B233" i="3"/>
  <c r="A233" i="3"/>
  <c r="N232" i="3"/>
  <c r="M232" i="3"/>
  <c r="H232" i="3"/>
  <c r="F232" i="3"/>
  <c r="D232" i="3"/>
  <c r="B232" i="3"/>
  <c r="A232" i="3"/>
  <c r="N231" i="3"/>
  <c r="M231" i="3"/>
  <c r="H231" i="3"/>
  <c r="F231" i="3"/>
  <c r="D231" i="3"/>
  <c r="B231" i="3"/>
  <c r="A231" i="3"/>
  <c r="N230" i="3"/>
  <c r="M230" i="3"/>
  <c r="H230" i="3"/>
  <c r="F230" i="3"/>
  <c r="D230" i="3"/>
  <c r="B230" i="3"/>
  <c r="A230" i="3"/>
  <c r="N229" i="3"/>
  <c r="M229" i="3"/>
  <c r="H229" i="3"/>
  <c r="F229" i="3"/>
  <c r="D229" i="3"/>
  <c r="B229" i="3"/>
  <c r="A229" i="3"/>
  <c r="N228" i="3"/>
  <c r="M228" i="3"/>
  <c r="H228" i="3"/>
  <c r="F228" i="3"/>
  <c r="D228" i="3"/>
  <c r="B228" i="3"/>
  <c r="A228" i="3"/>
  <c r="N227" i="3"/>
  <c r="M227" i="3"/>
  <c r="H227" i="3"/>
  <c r="F227" i="3"/>
  <c r="D227" i="3"/>
  <c r="B227" i="3"/>
  <c r="A227" i="3"/>
  <c r="N226" i="3"/>
  <c r="M226" i="3"/>
  <c r="H226" i="3"/>
  <c r="F226" i="3"/>
  <c r="D226" i="3"/>
  <c r="B226" i="3"/>
  <c r="A226" i="3"/>
  <c r="N225" i="3"/>
  <c r="M225" i="3"/>
  <c r="H225" i="3"/>
  <c r="F225" i="3"/>
  <c r="D225" i="3"/>
  <c r="B225" i="3"/>
  <c r="A225" i="3"/>
  <c r="N224" i="3"/>
  <c r="M224" i="3"/>
  <c r="H224" i="3"/>
  <c r="F224" i="3"/>
  <c r="D224" i="3"/>
  <c r="B224" i="3"/>
  <c r="A224" i="3"/>
  <c r="N223" i="3"/>
  <c r="M223" i="3"/>
  <c r="H223" i="3"/>
  <c r="F223" i="3"/>
  <c r="D223" i="3"/>
  <c r="B223" i="3"/>
  <c r="A223" i="3"/>
  <c r="N222" i="3"/>
  <c r="M222" i="3"/>
  <c r="H222" i="3"/>
  <c r="F222" i="3"/>
  <c r="D222" i="3"/>
  <c r="B222" i="3"/>
  <c r="A222" i="3"/>
  <c r="N221" i="3"/>
  <c r="M221" i="3"/>
  <c r="H221" i="3"/>
  <c r="F221" i="3"/>
  <c r="D221" i="3"/>
  <c r="B221" i="3"/>
  <c r="A221" i="3"/>
  <c r="N220" i="3"/>
  <c r="M220" i="3"/>
  <c r="H220" i="3"/>
  <c r="F220" i="3"/>
  <c r="D220" i="3"/>
  <c r="B220" i="3"/>
  <c r="A220" i="3"/>
  <c r="N219" i="3"/>
  <c r="M219" i="3"/>
  <c r="H219" i="3"/>
  <c r="F219" i="3"/>
  <c r="D219" i="3"/>
  <c r="B219" i="3"/>
  <c r="A219" i="3"/>
  <c r="N218" i="3"/>
  <c r="M218" i="3"/>
  <c r="H218" i="3"/>
  <c r="F218" i="3"/>
  <c r="D218" i="3"/>
  <c r="B218" i="3"/>
  <c r="A218" i="3"/>
  <c r="N217" i="3"/>
  <c r="M217" i="3"/>
  <c r="H217" i="3"/>
  <c r="F217" i="3"/>
  <c r="D217" i="3"/>
  <c r="B217" i="3"/>
  <c r="A217" i="3"/>
  <c r="N216" i="3"/>
  <c r="M216" i="3"/>
  <c r="H216" i="3"/>
  <c r="F216" i="3"/>
  <c r="D216" i="3"/>
  <c r="B216" i="3"/>
  <c r="A216" i="3"/>
  <c r="N215" i="3"/>
  <c r="M215" i="3"/>
  <c r="H215" i="3"/>
  <c r="F215" i="3"/>
  <c r="D215" i="3"/>
  <c r="B215" i="3"/>
  <c r="A215" i="3"/>
  <c r="N214" i="3"/>
  <c r="M214" i="3"/>
  <c r="H214" i="3"/>
  <c r="F214" i="3"/>
  <c r="D214" i="3"/>
  <c r="B214" i="3"/>
  <c r="A214" i="3"/>
  <c r="N213" i="3"/>
  <c r="M213" i="3"/>
  <c r="H213" i="3"/>
  <c r="F213" i="3"/>
  <c r="D213" i="3"/>
  <c r="B213" i="3"/>
  <c r="A213" i="3"/>
  <c r="N212" i="3"/>
  <c r="M212" i="3"/>
  <c r="H212" i="3"/>
  <c r="F212" i="3"/>
  <c r="D212" i="3"/>
  <c r="B212" i="3"/>
  <c r="A212" i="3"/>
  <c r="N211" i="3"/>
  <c r="M211" i="3"/>
  <c r="H211" i="3"/>
  <c r="F211" i="3"/>
  <c r="D211" i="3"/>
  <c r="B211" i="3"/>
  <c r="A211" i="3"/>
  <c r="N210" i="3"/>
  <c r="M210" i="3"/>
  <c r="H210" i="3"/>
  <c r="F210" i="3"/>
  <c r="D210" i="3"/>
  <c r="B210" i="3"/>
  <c r="A210" i="3"/>
  <c r="N209" i="3"/>
  <c r="M209" i="3"/>
  <c r="H209" i="3"/>
  <c r="F209" i="3"/>
  <c r="D209" i="3"/>
  <c r="B209" i="3"/>
  <c r="A209" i="3"/>
  <c r="N208" i="3"/>
  <c r="M208" i="3"/>
  <c r="H208" i="3"/>
  <c r="F208" i="3"/>
  <c r="D208" i="3"/>
  <c r="B208" i="3"/>
  <c r="A208" i="3"/>
  <c r="N207" i="3"/>
  <c r="M207" i="3"/>
  <c r="H207" i="3"/>
  <c r="F207" i="3"/>
  <c r="D207" i="3"/>
  <c r="B207" i="3"/>
  <c r="A207" i="3"/>
  <c r="N206" i="3"/>
  <c r="M206" i="3"/>
  <c r="H206" i="3"/>
  <c r="F206" i="3"/>
  <c r="D206" i="3"/>
  <c r="B206" i="3"/>
  <c r="A206" i="3"/>
  <c r="N205" i="3"/>
  <c r="M205" i="3"/>
  <c r="H205" i="3"/>
  <c r="F205" i="3"/>
  <c r="D205" i="3"/>
  <c r="B205" i="3"/>
  <c r="A205" i="3"/>
  <c r="N204" i="3"/>
  <c r="M204" i="3"/>
  <c r="H204" i="3"/>
  <c r="F204" i="3"/>
  <c r="D204" i="3"/>
  <c r="B204" i="3"/>
  <c r="A204" i="3"/>
  <c r="N203" i="3"/>
  <c r="M203" i="3"/>
  <c r="H203" i="3"/>
  <c r="F203" i="3"/>
  <c r="D203" i="3"/>
  <c r="B203" i="3"/>
  <c r="A203" i="3"/>
  <c r="N202" i="3"/>
  <c r="M202" i="3"/>
  <c r="H202" i="3"/>
  <c r="F202" i="3"/>
  <c r="D202" i="3"/>
  <c r="B202" i="3"/>
  <c r="A202" i="3"/>
  <c r="N201" i="3"/>
  <c r="M201" i="3"/>
  <c r="H201" i="3"/>
  <c r="F201" i="3"/>
  <c r="D201" i="3"/>
  <c r="B201" i="3"/>
  <c r="A201" i="3"/>
  <c r="N200" i="3"/>
  <c r="M200" i="3"/>
  <c r="H200" i="3"/>
  <c r="F200" i="3"/>
  <c r="D200" i="3"/>
  <c r="B200" i="3"/>
  <c r="A200" i="3"/>
  <c r="N199" i="3"/>
  <c r="M199" i="3"/>
  <c r="H199" i="3"/>
  <c r="F199" i="3"/>
  <c r="D199" i="3"/>
  <c r="B199" i="3"/>
  <c r="A199" i="3"/>
  <c r="N198" i="3"/>
  <c r="M198" i="3"/>
  <c r="H198" i="3"/>
  <c r="F198" i="3"/>
  <c r="D198" i="3"/>
  <c r="B198" i="3"/>
  <c r="A198" i="3"/>
  <c r="N197" i="3"/>
  <c r="M197" i="3"/>
  <c r="H197" i="3"/>
  <c r="F197" i="3"/>
  <c r="D197" i="3"/>
  <c r="B197" i="3"/>
  <c r="A197" i="3"/>
  <c r="N196" i="3"/>
  <c r="M196" i="3"/>
  <c r="H196" i="3"/>
  <c r="F196" i="3"/>
  <c r="D196" i="3"/>
  <c r="B196" i="3"/>
  <c r="A196" i="3"/>
  <c r="N195" i="3"/>
  <c r="M195" i="3"/>
  <c r="H195" i="3"/>
  <c r="F195" i="3"/>
  <c r="D195" i="3"/>
  <c r="B195" i="3"/>
  <c r="A195" i="3"/>
  <c r="N194" i="3"/>
  <c r="M194" i="3"/>
  <c r="H194" i="3"/>
  <c r="F194" i="3"/>
  <c r="D194" i="3"/>
  <c r="B194" i="3"/>
  <c r="A194" i="3"/>
  <c r="N193" i="3"/>
  <c r="M193" i="3"/>
  <c r="H193" i="3"/>
  <c r="F193" i="3"/>
  <c r="D193" i="3"/>
  <c r="B193" i="3"/>
  <c r="A193" i="3"/>
  <c r="N192" i="3"/>
  <c r="M192" i="3"/>
  <c r="H192" i="3"/>
  <c r="F192" i="3"/>
  <c r="D192" i="3"/>
  <c r="B192" i="3"/>
  <c r="A192" i="3"/>
  <c r="N191" i="3"/>
  <c r="M191" i="3"/>
  <c r="H191" i="3"/>
  <c r="F191" i="3"/>
  <c r="D191" i="3"/>
  <c r="B191" i="3"/>
  <c r="A191" i="3"/>
  <c r="N190" i="3"/>
  <c r="M190" i="3"/>
  <c r="H190" i="3"/>
  <c r="F190" i="3"/>
  <c r="D190" i="3"/>
  <c r="B190" i="3"/>
  <c r="A190" i="3"/>
  <c r="N189" i="3"/>
  <c r="M189" i="3"/>
  <c r="H189" i="3"/>
  <c r="F189" i="3"/>
  <c r="D189" i="3"/>
  <c r="B189" i="3"/>
  <c r="A189" i="3"/>
  <c r="N188" i="3"/>
  <c r="M188" i="3"/>
  <c r="H188" i="3"/>
  <c r="F188" i="3"/>
  <c r="D188" i="3"/>
  <c r="B188" i="3"/>
  <c r="A188" i="3"/>
  <c r="N187" i="3"/>
  <c r="M187" i="3"/>
  <c r="H187" i="3"/>
  <c r="F187" i="3"/>
  <c r="D187" i="3"/>
  <c r="B187" i="3"/>
  <c r="A187" i="3"/>
  <c r="N186" i="3"/>
  <c r="M186" i="3"/>
  <c r="H186" i="3"/>
  <c r="F186" i="3"/>
  <c r="D186" i="3"/>
  <c r="B186" i="3"/>
  <c r="A186" i="3"/>
  <c r="N185" i="3"/>
  <c r="M185" i="3"/>
  <c r="H185" i="3"/>
  <c r="F185" i="3"/>
  <c r="D185" i="3"/>
  <c r="B185" i="3"/>
  <c r="A185" i="3"/>
  <c r="N184" i="3"/>
  <c r="M184" i="3"/>
  <c r="H184" i="3"/>
  <c r="F184" i="3"/>
  <c r="D184" i="3"/>
  <c r="B184" i="3"/>
  <c r="A184" i="3"/>
  <c r="N183" i="3"/>
  <c r="M183" i="3"/>
  <c r="H183" i="3"/>
  <c r="F183" i="3"/>
  <c r="D183" i="3"/>
  <c r="B183" i="3"/>
  <c r="A183" i="3"/>
  <c r="N182" i="3"/>
  <c r="M182" i="3"/>
  <c r="H182" i="3"/>
  <c r="F182" i="3"/>
  <c r="D182" i="3"/>
  <c r="B182" i="3"/>
  <c r="A182" i="3"/>
  <c r="N181" i="3"/>
  <c r="M181" i="3"/>
  <c r="H181" i="3"/>
  <c r="F181" i="3"/>
  <c r="D181" i="3"/>
  <c r="B181" i="3"/>
  <c r="A181" i="3"/>
  <c r="N180" i="3"/>
  <c r="M180" i="3"/>
  <c r="H180" i="3"/>
  <c r="F180" i="3"/>
  <c r="D180" i="3"/>
  <c r="B180" i="3"/>
  <c r="A180" i="3"/>
  <c r="N179" i="3"/>
  <c r="M179" i="3"/>
  <c r="H179" i="3"/>
  <c r="F179" i="3"/>
  <c r="D179" i="3"/>
  <c r="B179" i="3"/>
  <c r="A179" i="3"/>
  <c r="N178" i="3"/>
  <c r="M178" i="3"/>
  <c r="H178" i="3"/>
  <c r="F178" i="3"/>
  <c r="D178" i="3"/>
  <c r="B178" i="3"/>
  <c r="A178" i="3"/>
  <c r="N177" i="3"/>
  <c r="M177" i="3"/>
  <c r="H177" i="3"/>
  <c r="F177" i="3"/>
  <c r="D177" i="3"/>
  <c r="B177" i="3"/>
  <c r="A177" i="3"/>
  <c r="N176" i="3"/>
  <c r="M176" i="3"/>
  <c r="H176" i="3"/>
  <c r="F176" i="3"/>
  <c r="D176" i="3"/>
  <c r="B176" i="3"/>
  <c r="A176" i="3"/>
  <c r="N175" i="3"/>
  <c r="M175" i="3"/>
  <c r="H175" i="3"/>
  <c r="F175" i="3"/>
  <c r="D175" i="3"/>
  <c r="B175" i="3"/>
  <c r="A175" i="3"/>
  <c r="N174" i="3"/>
  <c r="M174" i="3"/>
  <c r="H174" i="3"/>
  <c r="F174" i="3"/>
  <c r="D174" i="3"/>
  <c r="B174" i="3"/>
  <c r="A174" i="3"/>
  <c r="N173" i="3"/>
  <c r="M173" i="3"/>
  <c r="H173" i="3"/>
  <c r="F173" i="3"/>
  <c r="D173" i="3"/>
  <c r="B173" i="3"/>
  <c r="A173" i="3"/>
  <c r="N172" i="3"/>
  <c r="M172" i="3"/>
  <c r="H172" i="3"/>
  <c r="F172" i="3"/>
  <c r="D172" i="3"/>
  <c r="B172" i="3"/>
  <c r="A172" i="3"/>
  <c r="N171" i="3"/>
  <c r="M171" i="3"/>
  <c r="H171" i="3"/>
  <c r="F171" i="3"/>
  <c r="D171" i="3"/>
  <c r="B171" i="3"/>
  <c r="A171" i="3"/>
  <c r="N170" i="3"/>
  <c r="M170" i="3"/>
  <c r="H170" i="3"/>
  <c r="F170" i="3"/>
  <c r="D170" i="3"/>
  <c r="B170" i="3"/>
  <c r="A170" i="3"/>
  <c r="N169" i="3"/>
  <c r="M169" i="3"/>
  <c r="H169" i="3"/>
  <c r="F169" i="3"/>
  <c r="D169" i="3"/>
  <c r="B169" i="3"/>
  <c r="A169" i="3"/>
  <c r="N168" i="3"/>
  <c r="M168" i="3"/>
  <c r="H168" i="3"/>
  <c r="F168" i="3"/>
  <c r="D168" i="3"/>
  <c r="B168" i="3"/>
  <c r="A168" i="3"/>
  <c r="N167" i="3"/>
  <c r="M167" i="3"/>
  <c r="H167" i="3"/>
  <c r="F167" i="3"/>
  <c r="D167" i="3"/>
  <c r="B167" i="3"/>
  <c r="A167" i="3"/>
  <c r="N166" i="3"/>
  <c r="M166" i="3"/>
  <c r="H166" i="3"/>
  <c r="F166" i="3"/>
  <c r="D166" i="3"/>
  <c r="B166" i="3"/>
  <c r="A166" i="3"/>
  <c r="N165" i="3"/>
  <c r="M165" i="3"/>
  <c r="H165" i="3"/>
  <c r="F165" i="3"/>
  <c r="D165" i="3"/>
  <c r="B165" i="3"/>
  <c r="A165" i="3"/>
  <c r="N164" i="3"/>
  <c r="M164" i="3"/>
  <c r="H164" i="3"/>
  <c r="F164" i="3"/>
  <c r="D164" i="3"/>
  <c r="B164" i="3"/>
  <c r="A164" i="3"/>
  <c r="N163" i="3"/>
  <c r="M163" i="3"/>
  <c r="H163" i="3"/>
  <c r="F163" i="3"/>
  <c r="D163" i="3"/>
  <c r="B163" i="3"/>
  <c r="A163" i="3"/>
  <c r="N162" i="3"/>
  <c r="M162" i="3"/>
  <c r="H162" i="3"/>
  <c r="F162" i="3"/>
  <c r="D162" i="3"/>
  <c r="B162" i="3"/>
  <c r="A162" i="3"/>
  <c r="N161" i="3"/>
  <c r="M161" i="3"/>
  <c r="H161" i="3"/>
  <c r="F161" i="3"/>
  <c r="D161" i="3"/>
  <c r="B161" i="3"/>
  <c r="A161" i="3"/>
  <c r="N160" i="3"/>
  <c r="M160" i="3"/>
  <c r="H160" i="3"/>
  <c r="F160" i="3"/>
  <c r="D160" i="3"/>
  <c r="B160" i="3"/>
  <c r="A160" i="3"/>
  <c r="N159" i="3"/>
  <c r="M159" i="3"/>
  <c r="H159" i="3"/>
  <c r="F159" i="3"/>
  <c r="D159" i="3"/>
  <c r="B159" i="3"/>
  <c r="A159" i="3"/>
  <c r="N158" i="3"/>
  <c r="M158" i="3"/>
  <c r="H158" i="3"/>
  <c r="F158" i="3"/>
  <c r="D158" i="3"/>
  <c r="B158" i="3"/>
  <c r="A158" i="3"/>
  <c r="N157" i="3"/>
  <c r="M157" i="3"/>
  <c r="H157" i="3"/>
  <c r="F157" i="3"/>
  <c r="D157" i="3"/>
  <c r="B157" i="3"/>
  <c r="A157" i="3"/>
  <c r="N156" i="3"/>
  <c r="M156" i="3"/>
  <c r="H156" i="3"/>
  <c r="F156" i="3"/>
  <c r="D156" i="3"/>
  <c r="B156" i="3"/>
  <c r="A156" i="3"/>
  <c r="N155" i="3"/>
  <c r="M155" i="3"/>
  <c r="H155" i="3"/>
  <c r="F155" i="3"/>
  <c r="D155" i="3"/>
  <c r="B155" i="3"/>
  <c r="A155" i="3"/>
  <c r="N154" i="3"/>
  <c r="M154" i="3"/>
  <c r="H154" i="3"/>
  <c r="F154" i="3"/>
  <c r="D154" i="3"/>
  <c r="B154" i="3"/>
  <c r="A154" i="3"/>
  <c r="N153" i="3"/>
  <c r="M153" i="3"/>
  <c r="H153" i="3"/>
  <c r="F153" i="3"/>
  <c r="D153" i="3"/>
  <c r="B153" i="3"/>
  <c r="A153" i="3"/>
  <c r="N152" i="3"/>
  <c r="M152" i="3"/>
  <c r="H152" i="3"/>
  <c r="F152" i="3"/>
  <c r="D152" i="3"/>
  <c r="B152" i="3"/>
  <c r="A152" i="3"/>
  <c r="N151" i="3"/>
  <c r="M151" i="3"/>
  <c r="H151" i="3"/>
  <c r="F151" i="3"/>
  <c r="D151" i="3"/>
  <c r="B151" i="3"/>
  <c r="A151" i="3"/>
  <c r="N150" i="3"/>
  <c r="M150" i="3"/>
  <c r="H150" i="3"/>
  <c r="F150" i="3"/>
  <c r="D150" i="3"/>
  <c r="B150" i="3"/>
  <c r="A150" i="3"/>
  <c r="N149" i="3"/>
  <c r="M149" i="3"/>
  <c r="H149" i="3"/>
  <c r="F149" i="3"/>
  <c r="D149" i="3"/>
  <c r="B149" i="3"/>
  <c r="A149" i="3"/>
  <c r="N148" i="3"/>
  <c r="M148" i="3"/>
  <c r="H148" i="3"/>
  <c r="F148" i="3"/>
  <c r="D148" i="3"/>
  <c r="B148" i="3"/>
  <c r="A148" i="3"/>
  <c r="N147" i="3"/>
  <c r="M147" i="3"/>
  <c r="H147" i="3"/>
  <c r="F147" i="3"/>
  <c r="D147" i="3"/>
  <c r="B147" i="3"/>
  <c r="A147" i="3"/>
  <c r="N146" i="3"/>
  <c r="M146" i="3"/>
  <c r="H146" i="3"/>
  <c r="F146" i="3"/>
  <c r="D146" i="3"/>
  <c r="B146" i="3"/>
  <c r="A146" i="3"/>
  <c r="N145" i="3"/>
  <c r="M145" i="3"/>
  <c r="H145" i="3"/>
  <c r="F145" i="3"/>
  <c r="D145" i="3"/>
  <c r="B145" i="3"/>
  <c r="A145" i="3"/>
  <c r="N144" i="3"/>
  <c r="M144" i="3"/>
  <c r="H144" i="3"/>
  <c r="F144" i="3"/>
  <c r="D144" i="3"/>
  <c r="B144" i="3"/>
  <c r="A144" i="3"/>
  <c r="N143" i="3"/>
  <c r="M143" i="3"/>
  <c r="H143" i="3"/>
  <c r="F143" i="3"/>
  <c r="D143" i="3"/>
  <c r="B143" i="3"/>
  <c r="A143" i="3"/>
  <c r="N142" i="3"/>
  <c r="M142" i="3"/>
  <c r="H142" i="3"/>
  <c r="F142" i="3"/>
  <c r="D142" i="3"/>
  <c r="B142" i="3"/>
  <c r="A142" i="3"/>
  <c r="N141" i="3"/>
  <c r="M141" i="3"/>
  <c r="H141" i="3"/>
  <c r="F141" i="3"/>
  <c r="D141" i="3"/>
  <c r="B141" i="3"/>
  <c r="A141" i="3"/>
  <c r="N140" i="3"/>
  <c r="M140" i="3"/>
  <c r="H140" i="3"/>
  <c r="F140" i="3"/>
  <c r="D140" i="3"/>
  <c r="B140" i="3"/>
  <c r="A140" i="3"/>
  <c r="N139" i="3"/>
  <c r="M139" i="3"/>
  <c r="H139" i="3"/>
  <c r="F139" i="3"/>
  <c r="D139" i="3"/>
  <c r="B139" i="3"/>
  <c r="A139" i="3"/>
  <c r="N138" i="3"/>
  <c r="M138" i="3"/>
  <c r="H138" i="3"/>
  <c r="F138" i="3"/>
  <c r="D138" i="3"/>
  <c r="B138" i="3"/>
  <c r="A138" i="3"/>
  <c r="N137" i="3"/>
  <c r="M137" i="3"/>
  <c r="H137" i="3"/>
  <c r="F137" i="3"/>
  <c r="D137" i="3"/>
  <c r="B137" i="3"/>
  <c r="A137" i="3"/>
  <c r="N136" i="3"/>
  <c r="M136" i="3"/>
  <c r="H136" i="3"/>
  <c r="F136" i="3"/>
  <c r="D136" i="3"/>
  <c r="B136" i="3"/>
  <c r="A136" i="3"/>
  <c r="N135" i="3"/>
  <c r="M135" i="3"/>
  <c r="H135" i="3"/>
  <c r="F135" i="3"/>
  <c r="D135" i="3"/>
  <c r="B135" i="3"/>
  <c r="A135" i="3"/>
  <c r="N134" i="3"/>
  <c r="M134" i="3"/>
  <c r="H134" i="3"/>
  <c r="F134" i="3"/>
  <c r="D134" i="3"/>
  <c r="B134" i="3"/>
  <c r="A134" i="3"/>
  <c r="N133" i="3"/>
  <c r="M133" i="3"/>
  <c r="H133" i="3"/>
  <c r="F133" i="3"/>
  <c r="D133" i="3"/>
  <c r="B133" i="3"/>
  <c r="A133" i="3"/>
  <c r="N132" i="3"/>
  <c r="M132" i="3"/>
  <c r="H132" i="3"/>
  <c r="F132" i="3"/>
  <c r="D132" i="3"/>
  <c r="B132" i="3"/>
  <c r="A132" i="3"/>
  <c r="N131" i="3"/>
  <c r="M131" i="3"/>
  <c r="H131" i="3"/>
  <c r="F131" i="3"/>
  <c r="D131" i="3"/>
  <c r="B131" i="3"/>
  <c r="A131" i="3"/>
  <c r="N130" i="3"/>
  <c r="M130" i="3"/>
  <c r="H130" i="3"/>
  <c r="F130" i="3"/>
  <c r="D130" i="3"/>
  <c r="B130" i="3"/>
  <c r="A130" i="3"/>
  <c r="V129" i="3"/>
  <c r="U129" i="3"/>
  <c r="N129" i="3"/>
  <c r="M129" i="3"/>
  <c r="H129" i="3"/>
  <c r="F129" i="3"/>
  <c r="D129" i="3"/>
  <c r="B129" i="3"/>
  <c r="A129" i="3"/>
  <c r="V128" i="3"/>
  <c r="U128" i="3"/>
  <c r="N128" i="3"/>
  <c r="M128" i="3"/>
  <c r="H128" i="3"/>
  <c r="F128" i="3"/>
  <c r="D128" i="3"/>
  <c r="B128" i="3"/>
  <c r="A128" i="3"/>
  <c r="V127" i="3"/>
  <c r="U127" i="3"/>
  <c r="N127" i="3"/>
  <c r="M127" i="3"/>
  <c r="H127" i="3"/>
  <c r="F127" i="3"/>
  <c r="D127" i="3"/>
  <c r="B127" i="3"/>
  <c r="A127" i="3"/>
  <c r="V126" i="3"/>
  <c r="U126" i="3"/>
  <c r="N126" i="3"/>
  <c r="M126" i="3"/>
  <c r="H126" i="3"/>
  <c r="F126" i="3"/>
  <c r="D126" i="3"/>
  <c r="B126" i="3"/>
  <c r="A126" i="3"/>
  <c r="V125" i="3"/>
  <c r="U125" i="3"/>
  <c r="N125" i="3"/>
  <c r="M125" i="3"/>
  <c r="H125" i="3"/>
  <c r="F125" i="3"/>
  <c r="D125" i="3"/>
  <c r="B125" i="3"/>
  <c r="A125" i="3"/>
  <c r="V124" i="3"/>
  <c r="U124" i="3"/>
  <c r="N124" i="3"/>
  <c r="M124" i="3"/>
  <c r="H124" i="3"/>
  <c r="F124" i="3"/>
  <c r="D124" i="3"/>
  <c r="B124" i="3"/>
  <c r="A124" i="3"/>
  <c r="V123" i="3"/>
  <c r="U123" i="3"/>
  <c r="N123" i="3"/>
  <c r="M123" i="3"/>
  <c r="H123" i="3"/>
  <c r="F123" i="3"/>
  <c r="D123" i="3"/>
  <c r="B123" i="3"/>
  <c r="A123" i="3"/>
  <c r="V122" i="3"/>
  <c r="U122" i="3"/>
  <c r="N122" i="3"/>
  <c r="M122" i="3"/>
  <c r="H122" i="3"/>
  <c r="F122" i="3"/>
  <c r="D122" i="3"/>
  <c r="B122" i="3"/>
  <c r="A122" i="3"/>
  <c r="V121" i="3"/>
  <c r="U121" i="3"/>
  <c r="N121" i="3"/>
  <c r="M121" i="3"/>
  <c r="H121" i="3"/>
  <c r="F121" i="3"/>
  <c r="D121" i="3"/>
  <c r="B121" i="3"/>
  <c r="A121" i="3"/>
  <c r="V120" i="3"/>
  <c r="U120" i="3"/>
  <c r="N120" i="3"/>
  <c r="M120" i="3"/>
  <c r="H120" i="3"/>
  <c r="F120" i="3"/>
  <c r="D120" i="3"/>
  <c r="B120" i="3"/>
  <c r="A120" i="3"/>
  <c r="V119" i="3"/>
  <c r="U119" i="3"/>
  <c r="N119" i="3"/>
  <c r="M119" i="3"/>
  <c r="H119" i="3"/>
  <c r="F119" i="3"/>
  <c r="D119" i="3"/>
  <c r="B119" i="3"/>
  <c r="A119" i="3"/>
  <c r="V118" i="3"/>
  <c r="U118" i="3"/>
  <c r="N118" i="3"/>
  <c r="M118" i="3"/>
  <c r="H118" i="3"/>
  <c r="F118" i="3"/>
  <c r="D118" i="3"/>
  <c r="B118" i="3"/>
  <c r="A118" i="3"/>
  <c r="V117" i="3"/>
  <c r="U117" i="3"/>
  <c r="N117" i="3"/>
  <c r="M117" i="3"/>
  <c r="H117" i="3"/>
  <c r="F117" i="3"/>
  <c r="D117" i="3"/>
  <c r="B117" i="3"/>
  <c r="A117" i="3"/>
  <c r="V116" i="3"/>
  <c r="U116" i="3"/>
  <c r="N116" i="3"/>
  <c r="M116" i="3"/>
  <c r="H116" i="3"/>
  <c r="F116" i="3"/>
  <c r="D116" i="3"/>
  <c r="B116" i="3"/>
  <c r="A116" i="3"/>
  <c r="V115" i="3"/>
  <c r="U115" i="3"/>
  <c r="N115" i="3"/>
  <c r="M115" i="3"/>
  <c r="H115" i="3"/>
  <c r="F115" i="3"/>
  <c r="D115" i="3"/>
  <c r="B115" i="3"/>
  <c r="A115" i="3"/>
  <c r="V114" i="3"/>
  <c r="U114" i="3"/>
  <c r="N114" i="3"/>
  <c r="M114" i="3"/>
  <c r="H114" i="3"/>
  <c r="F114" i="3"/>
  <c r="D114" i="3"/>
  <c r="B114" i="3"/>
  <c r="A114" i="3"/>
  <c r="V113" i="3"/>
  <c r="U113" i="3"/>
  <c r="N113" i="3"/>
  <c r="M113" i="3"/>
  <c r="H113" i="3"/>
  <c r="F113" i="3"/>
  <c r="D113" i="3"/>
  <c r="B113" i="3"/>
  <c r="A113" i="3"/>
  <c r="V112" i="3"/>
  <c r="U112" i="3"/>
  <c r="N112" i="3"/>
  <c r="M112" i="3"/>
  <c r="H112" i="3"/>
  <c r="F112" i="3"/>
  <c r="D112" i="3"/>
  <c r="B112" i="3"/>
  <c r="A112" i="3"/>
  <c r="V111" i="3"/>
  <c r="U111" i="3"/>
  <c r="N111" i="3"/>
  <c r="M111" i="3"/>
  <c r="H111" i="3"/>
  <c r="F111" i="3"/>
  <c r="D111" i="3"/>
  <c r="B111" i="3"/>
  <c r="A111" i="3"/>
  <c r="V110" i="3"/>
  <c r="U110" i="3"/>
  <c r="N110" i="3"/>
  <c r="M110" i="3"/>
  <c r="H110" i="3"/>
  <c r="F110" i="3"/>
  <c r="D110" i="3"/>
  <c r="B110" i="3"/>
  <c r="A110" i="3"/>
  <c r="V109" i="3"/>
  <c r="U109" i="3"/>
  <c r="N109" i="3"/>
  <c r="M109" i="3"/>
  <c r="H109" i="3"/>
  <c r="F109" i="3"/>
  <c r="D109" i="3"/>
  <c r="B109" i="3"/>
  <c r="A109" i="3"/>
  <c r="V108" i="3"/>
  <c r="U108" i="3"/>
  <c r="N108" i="3"/>
  <c r="M108" i="3"/>
  <c r="H108" i="3"/>
  <c r="F108" i="3"/>
  <c r="D108" i="3"/>
  <c r="B108" i="3"/>
  <c r="A108" i="3"/>
  <c r="V107" i="3"/>
  <c r="U107" i="3"/>
  <c r="N107" i="3"/>
  <c r="M107" i="3"/>
  <c r="H107" i="3"/>
  <c r="F107" i="3"/>
  <c r="D107" i="3"/>
  <c r="B107" i="3"/>
  <c r="A107" i="3"/>
  <c r="V106" i="3"/>
  <c r="U106" i="3"/>
  <c r="N106" i="3"/>
  <c r="M106" i="3"/>
  <c r="H106" i="3"/>
  <c r="F106" i="3"/>
  <c r="D106" i="3"/>
  <c r="B106" i="3"/>
  <c r="A106" i="3"/>
  <c r="V105" i="3"/>
  <c r="U105" i="3"/>
  <c r="N105" i="3"/>
  <c r="M105" i="3"/>
  <c r="H105" i="3"/>
  <c r="F105" i="3"/>
  <c r="D105" i="3"/>
  <c r="B105" i="3"/>
  <c r="A105" i="3"/>
  <c r="V104" i="3"/>
  <c r="U104" i="3"/>
  <c r="N104" i="3"/>
  <c r="M104" i="3"/>
  <c r="H104" i="3"/>
  <c r="F104" i="3"/>
  <c r="D104" i="3"/>
  <c r="B104" i="3"/>
  <c r="A104" i="3"/>
  <c r="V103" i="3"/>
  <c r="U103" i="3"/>
  <c r="N103" i="3"/>
  <c r="M103" i="3"/>
  <c r="H103" i="3"/>
  <c r="F103" i="3"/>
  <c r="D103" i="3"/>
  <c r="B103" i="3"/>
  <c r="A103" i="3"/>
  <c r="V102" i="3"/>
  <c r="U102" i="3"/>
  <c r="N102" i="3"/>
  <c r="M102" i="3"/>
  <c r="H102" i="3"/>
  <c r="F102" i="3"/>
  <c r="D102" i="3"/>
  <c r="B102" i="3"/>
  <c r="A102" i="3"/>
  <c r="V101" i="3"/>
  <c r="U101" i="3"/>
  <c r="N101" i="3"/>
  <c r="M101" i="3"/>
  <c r="H101" i="3"/>
  <c r="F101" i="3"/>
  <c r="D101" i="3"/>
  <c r="B101" i="3"/>
  <c r="A101" i="3"/>
  <c r="V100" i="3"/>
  <c r="U100" i="3"/>
  <c r="N100" i="3"/>
  <c r="M100" i="3"/>
  <c r="H100" i="3"/>
  <c r="F100" i="3"/>
  <c r="D100" i="3"/>
  <c r="B100" i="3"/>
  <c r="A100" i="3"/>
  <c r="V99" i="3"/>
  <c r="U99" i="3"/>
  <c r="N99" i="3"/>
  <c r="M99" i="3"/>
  <c r="H99" i="3"/>
  <c r="F99" i="3"/>
  <c r="D99" i="3"/>
  <c r="B99" i="3"/>
  <c r="A99" i="3"/>
  <c r="V98" i="3"/>
  <c r="U98" i="3"/>
  <c r="N98" i="3"/>
  <c r="M98" i="3"/>
  <c r="H98" i="3"/>
  <c r="F98" i="3"/>
  <c r="D98" i="3"/>
  <c r="B98" i="3"/>
  <c r="A98" i="3"/>
  <c r="V97" i="3"/>
  <c r="U97" i="3"/>
  <c r="N97" i="3"/>
  <c r="M97" i="3"/>
  <c r="H97" i="3"/>
  <c r="F97" i="3"/>
  <c r="D97" i="3"/>
  <c r="B97" i="3"/>
  <c r="A97" i="3"/>
  <c r="V96" i="3"/>
  <c r="U96" i="3"/>
  <c r="N96" i="3"/>
  <c r="M96" i="3"/>
  <c r="H96" i="3"/>
  <c r="F96" i="3"/>
  <c r="D96" i="3"/>
  <c r="B96" i="3"/>
  <c r="A96" i="3"/>
  <c r="V95" i="3"/>
  <c r="U95" i="3"/>
  <c r="N95" i="3"/>
  <c r="M95" i="3"/>
  <c r="H95" i="3"/>
  <c r="F95" i="3"/>
  <c r="D95" i="3"/>
  <c r="B95" i="3"/>
  <c r="A95" i="3"/>
  <c r="V94" i="3"/>
  <c r="U94" i="3"/>
  <c r="N94" i="3"/>
  <c r="M94" i="3"/>
  <c r="H94" i="3"/>
  <c r="F94" i="3"/>
  <c r="D94" i="3"/>
  <c r="B94" i="3"/>
  <c r="A94" i="3"/>
  <c r="V93" i="3"/>
  <c r="U93" i="3"/>
  <c r="N93" i="3"/>
  <c r="M93" i="3"/>
  <c r="H93" i="3"/>
  <c r="F93" i="3"/>
  <c r="D93" i="3"/>
  <c r="B93" i="3"/>
  <c r="A93" i="3"/>
  <c r="V92" i="3"/>
  <c r="U92" i="3"/>
  <c r="N92" i="3"/>
  <c r="M92" i="3"/>
  <c r="H92" i="3"/>
  <c r="F92" i="3"/>
  <c r="D92" i="3"/>
  <c r="B92" i="3"/>
  <c r="A92" i="3"/>
  <c r="V91" i="3"/>
  <c r="U91" i="3"/>
  <c r="N91" i="3"/>
  <c r="M91" i="3"/>
  <c r="H91" i="3"/>
  <c r="F91" i="3"/>
  <c r="D91" i="3"/>
  <c r="B91" i="3"/>
  <c r="A91" i="3"/>
  <c r="V90" i="3"/>
  <c r="U90" i="3"/>
  <c r="N90" i="3"/>
  <c r="M90" i="3"/>
  <c r="H90" i="3"/>
  <c r="F90" i="3"/>
  <c r="D90" i="3"/>
  <c r="B90" i="3"/>
  <c r="A90" i="3"/>
  <c r="V89" i="3"/>
  <c r="U89" i="3"/>
  <c r="N89" i="3"/>
  <c r="M89" i="3"/>
  <c r="H89" i="3"/>
  <c r="F89" i="3"/>
  <c r="D89" i="3"/>
  <c r="B89" i="3"/>
  <c r="A89" i="3"/>
  <c r="V88" i="3"/>
  <c r="U88" i="3"/>
  <c r="N88" i="3"/>
  <c r="M88" i="3"/>
  <c r="H88" i="3"/>
  <c r="F88" i="3"/>
  <c r="D88" i="3"/>
  <c r="B88" i="3"/>
  <c r="A88" i="3"/>
  <c r="V87" i="3"/>
  <c r="U87" i="3"/>
  <c r="N87" i="3"/>
  <c r="M87" i="3"/>
  <c r="H87" i="3"/>
  <c r="F87" i="3"/>
  <c r="D87" i="3"/>
  <c r="B87" i="3"/>
  <c r="A87" i="3"/>
  <c r="V86" i="3"/>
  <c r="U86" i="3"/>
  <c r="N86" i="3"/>
  <c r="M86" i="3"/>
  <c r="H86" i="3"/>
  <c r="F86" i="3"/>
  <c r="D86" i="3"/>
  <c r="B86" i="3"/>
  <c r="A86" i="3"/>
  <c r="V85" i="3"/>
  <c r="U85" i="3"/>
  <c r="N85" i="3"/>
  <c r="M85" i="3"/>
  <c r="H85" i="3"/>
  <c r="F85" i="3"/>
  <c r="D85" i="3"/>
  <c r="B85" i="3"/>
  <c r="A85" i="3"/>
  <c r="V84" i="3"/>
  <c r="U84" i="3"/>
  <c r="N84" i="3"/>
  <c r="M84" i="3"/>
  <c r="H84" i="3"/>
  <c r="F84" i="3"/>
  <c r="D84" i="3"/>
  <c r="B84" i="3"/>
  <c r="A84" i="3"/>
  <c r="V83" i="3"/>
  <c r="U83" i="3"/>
  <c r="N83" i="3"/>
  <c r="M83" i="3"/>
  <c r="H83" i="3"/>
  <c r="F83" i="3"/>
  <c r="D83" i="3"/>
  <c r="B83" i="3"/>
  <c r="A83" i="3"/>
  <c r="V82" i="3"/>
  <c r="U82" i="3"/>
  <c r="N82" i="3"/>
  <c r="M82" i="3"/>
  <c r="H82" i="3"/>
  <c r="F82" i="3"/>
  <c r="D82" i="3"/>
  <c r="B82" i="3"/>
  <c r="A82" i="3"/>
  <c r="V81" i="3"/>
  <c r="U81" i="3"/>
  <c r="N81" i="3"/>
  <c r="M81" i="3"/>
  <c r="H81" i="3"/>
  <c r="F81" i="3"/>
  <c r="D81" i="3"/>
  <c r="B81" i="3"/>
  <c r="A81" i="3"/>
  <c r="V80" i="3"/>
  <c r="U80" i="3"/>
  <c r="N80" i="3"/>
  <c r="M80" i="3"/>
  <c r="H80" i="3"/>
  <c r="F80" i="3"/>
  <c r="D80" i="3"/>
  <c r="B80" i="3"/>
  <c r="A80" i="3"/>
  <c r="V79" i="3"/>
  <c r="U79" i="3"/>
  <c r="N79" i="3"/>
  <c r="M79" i="3"/>
  <c r="H79" i="3"/>
  <c r="F79" i="3"/>
  <c r="D79" i="3"/>
  <c r="B79" i="3"/>
  <c r="A79" i="3"/>
  <c r="V78" i="3"/>
  <c r="U78" i="3"/>
  <c r="N78" i="3"/>
  <c r="M78" i="3"/>
  <c r="H78" i="3"/>
  <c r="F78" i="3"/>
  <c r="D78" i="3"/>
  <c r="B78" i="3"/>
  <c r="A78" i="3"/>
  <c r="V77" i="3"/>
  <c r="U77" i="3"/>
  <c r="N77" i="3"/>
  <c r="M77" i="3"/>
  <c r="H77" i="3"/>
  <c r="F77" i="3"/>
  <c r="D77" i="3"/>
  <c r="B77" i="3"/>
  <c r="A77" i="3"/>
  <c r="V76" i="3"/>
  <c r="U76" i="3"/>
  <c r="N76" i="3"/>
  <c r="M76" i="3"/>
  <c r="H76" i="3"/>
  <c r="F76" i="3"/>
  <c r="D76" i="3"/>
  <c r="B76" i="3"/>
  <c r="A76" i="3"/>
  <c r="V75" i="3"/>
  <c r="U75" i="3"/>
  <c r="N75" i="3"/>
  <c r="M75" i="3"/>
  <c r="H75" i="3"/>
  <c r="F75" i="3"/>
  <c r="D75" i="3"/>
  <c r="B75" i="3"/>
  <c r="A75" i="3"/>
  <c r="V74" i="3"/>
  <c r="U74" i="3"/>
  <c r="N74" i="3"/>
  <c r="M74" i="3"/>
  <c r="H74" i="3"/>
  <c r="F74" i="3"/>
  <c r="D74" i="3"/>
  <c r="B74" i="3"/>
  <c r="A74" i="3"/>
  <c r="V73" i="3"/>
  <c r="U73" i="3"/>
  <c r="N73" i="3"/>
  <c r="M73" i="3"/>
  <c r="H73" i="3"/>
  <c r="F73" i="3"/>
  <c r="D73" i="3"/>
  <c r="B73" i="3"/>
  <c r="A73" i="3"/>
  <c r="V72" i="3"/>
  <c r="U72" i="3"/>
  <c r="N72" i="3"/>
  <c r="M72" i="3"/>
  <c r="H72" i="3"/>
  <c r="F72" i="3"/>
  <c r="D72" i="3"/>
  <c r="B72" i="3"/>
  <c r="A72" i="3"/>
  <c r="V71" i="3"/>
  <c r="U71" i="3"/>
  <c r="N71" i="3"/>
  <c r="M71" i="3"/>
  <c r="H71" i="3"/>
  <c r="F71" i="3"/>
  <c r="D71" i="3"/>
  <c r="B71" i="3"/>
  <c r="A71" i="3"/>
  <c r="V70" i="3"/>
  <c r="U70" i="3"/>
  <c r="N70" i="3"/>
  <c r="M70" i="3"/>
  <c r="H70" i="3"/>
  <c r="F70" i="3"/>
  <c r="D70" i="3"/>
  <c r="B70" i="3"/>
  <c r="A70" i="3"/>
  <c r="V69" i="3"/>
  <c r="U69" i="3"/>
  <c r="N69" i="3"/>
  <c r="M69" i="3"/>
  <c r="H69" i="3"/>
  <c r="F69" i="3"/>
  <c r="D69" i="3"/>
  <c r="B69" i="3"/>
  <c r="A69" i="3"/>
  <c r="V68" i="3"/>
  <c r="U68" i="3"/>
  <c r="N68" i="3"/>
  <c r="M68" i="3"/>
  <c r="H68" i="3"/>
  <c r="F68" i="3"/>
  <c r="D68" i="3"/>
  <c r="B68" i="3"/>
  <c r="A68" i="3"/>
  <c r="V67" i="3"/>
  <c r="U67" i="3"/>
  <c r="N67" i="3"/>
  <c r="M67" i="3"/>
  <c r="H67" i="3"/>
  <c r="F67" i="3"/>
  <c r="D67" i="3"/>
  <c r="B67" i="3"/>
  <c r="A67" i="3"/>
  <c r="V66" i="3"/>
  <c r="U66" i="3"/>
  <c r="N66" i="3"/>
  <c r="M66" i="3"/>
  <c r="H66" i="3"/>
  <c r="F66" i="3"/>
  <c r="D66" i="3"/>
  <c r="B66" i="3"/>
  <c r="A66" i="3"/>
  <c r="V65" i="3"/>
  <c r="U65" i="3"/>
  <c r="N65" i="3"/>
  <c r="M65" i="3"/>
  <c r="H65" i="3"/>
  <c r="F65" i="3"/>
  <c r="D65" i="3"/>
  <c r="B65" i="3"/>
  <c r="A65" i="3"/>
  <c r="V64" i="3"/>
  <c r="U64" i="3"/>
  <c r="N64" i="3"/>
  <c r="M64" i="3"/>
  <c r="H64" i="3"/>
  <c r="F64" i="3"/>
  <c r="D64" i="3"/>
  <c r="B64" i="3"/>
  <c r="A64" i="3"/>
  <c r="V63" i="3"/>
  <c r="U63" i="3"/>
  <c r="N63" i="3"/>
  <c r="M63" i="3"/>
  <c r="H63" i="3"/>
  <c r="F63" i="3"/>
  <c r="D63" i="3"/>
  <c r="B63" i="3"/>
  <c r="A63" i="3"/>
  <c r="V62" i="3"/>
  <c r="U62" i="3"/>
  <c r="N62" i="3"/>
  <c r="M62" i="3"/>
  <c r="H62" i="3"/>
  <c r="F62" i="3"/>
  <c r="D62" i="3"/>
  <c r="B62" i="3"/>
  <c r="A62" i="3"/>
  <c r="V61" i="3"/>
  <c r="U61" i="3"/>
  <c r="N61" i="3"/>
  <c r="M61" i="3"/>
  <c r="H61" i="3"/>
  <c r="F61" i="3"/>
  <c r="D61" i="3"/>
  <c r="B61" i="3"/>
  <c r="A61" i="3"/>
  <c r="V60" i="3"/>
  <c r="U60" i="3"/>
  <c r="N60" i="3"/>
  <c r="M60" i="3"/>
  <c r="H60" i="3"/>
  <c r="F60" i="3"/>
  <c r="D60" i="3"/>
  <c r="B60" i="3"/>
  <c r="A60" i="3"/>
  <c r="V59" i="3"/>
  <c r="U59" i="3"/>
  <c r="N59" i="3"/>
  <c r="M59" i="3"/>
  <c r="H59" i="3"/>
  <c r="F59" i="3"/>
  <c r="D59" i="3"/>
  <c r="B59" i="3"/>
  <c r="A59" i="3"/>
  <c r="V58" i="3"/>
  <c r="U58" i="3"/>
  <c r="N58" i="3"/>
  <c r="M58" i="3"/>
  <c r="H58" i="3"/>
  <c r="F58" i="3"/>
  <c r="D58" i="3"/>
  <c r="B58" i="3"/>
  <c r="A58" i="3"/>
  <c r="V57" i="3"/>
  <c r="U57" i="3"/>
  <c r="N57" i="3"/>
  <c r="M57" i="3"/>
  <c r="H57" i="3"/>
  <c r="F57" i="3"/>
  <c r="D57" i="3"/>
  <c r="B57" i="3"/>
  <c r="A57" i="3"/>
  <c r="V56" i="3"/>
  <c r="U56" i="3"/>
  <c r="N56" i="3"/>
  <c r="M56" i="3"/>
  <c r="H56" i="3"/>
  <c r="F56" i="3"/>
  <c r="D56" i="3"/>
  <c r="B56" i="3"/>
  <c r="A56" i="3"/>
  <c r="V55" i="3"/>
  <c r="U55" i="3"/>
  <c r="N55" i="3"/>
  <c r="M55" i="3"/>
  <c r="H55" i="3"/>
  <c r="F55" i="3"/>
  <c r="D55" i="3"/>
  <c r="B55" i="3"/>
  <c r="A55" i="3"/>
  <c r="V54" i="3"/>
  <c r="U54" i="3"/>
  <c r="N54" i="3"/>
  <c r="M54" i="3"/>
  <c r="H54" i="3"/>
  <c r="F54" i="3"/>
  <c r="D54" i="3"/>
  <c r="B54" i="3"/>
  <c r="A54" i="3"/>
  <c r="V53" i="3"/>
  <c r="U53" i="3"/>
  <c r="N53" i="3"/>
  <c r="M53" i="3"/>
  <c r="H53" i="3"/>
  <c r="F53" i="3"/>
  <c r="D53" i="3"/>
  <c r="B53" i="3"/>
  <c r="A53" i="3"/>
  <c r="V52" i="3"/>
  <c r="U52" i="3"/>
  <c r="N52" i="3"/>
  <c r="M52" i="3"/>
  <c r="H52" i="3"/>
  <c r="F52" i="3"/>
  <c r="D52" i="3"/>
  <c r="B52" i="3"/>
  <c r="A52" i="3"/>
  <c r="V51" i="3"/>
  <c r="U51" i="3"/>
  <c r="N51" i="3"/>
  <c r="M51" i="3"/>
  <c r="H51" i="3"/>
  <c r="F51" i="3"/>
  <c r="D51" i="3"/>
  <c r="B51" i="3"/>
  <c r="A51" i="3"/>
  <c r="V50" i="3"/>
  <c r="U50" i="3"/>
  <c r="N50" i="3"/>
  <c r="M50" i="3"/>
  <c r="H50" i="3"/>
  <c r="F50" i="3"/>
  <c r="D50" i="3"/>
  <c r="B50" i="3"/>
  <c r="A50" i="3"/>
  <c r="V49" i="3"/>
  <c r="U49" i="3"/>
  <c r="N49" i="3"/>
  <c r="M49" i="3"/>
  <c r="H49" i="3"/>
  <c r="F49" i="3"/>
  <c r="D49" i="3"/>
  <c r="B49" i="3"/>
  <c r="A49" i="3"/>
  <c r="V48" i="3"/>
  <c r="U48" i="3"/>
  <c r="N48" i="3"/>
  <c r="M48" i="3"/>
  <c r="H48" i="3"/>
  <c r="F48" i="3"/>
  <c r="D48" i="3"/>
  <c r="B48" i="3"/>
  <c r="A48" i="3"/>
  <c r="V47" i="3"/>
  <c r="U47" i="3"/>
  <c r="N47" i="3"/>
  <c r="M47" i="3"/>
  <c r="H47" i="3"/>
  <c r="F47" i="3"/>
  <c r="D47" i="3"/>
  <c r="B47" i="3"/>
  <c r="A47" i="3"/>
  <c r="V46" i="3"/>
  <c r="U46" i="3"/>
  <c r="N46" i="3"/>
  <c r="M46" i="3"/>
  <c r="H46" i="3"/>
  <c r="F46" i="3"/>
  <c r="D46" i="3"/>
  <c r="B46" i="3"/>
  <c r="A46" i="3"/>
  <c r="V45" i="3"/>
  <c r="U45" i="3"/>
  <c r="N45" i="3"/>
  <c r="M45" i="3"/>
  <c r="H45" i="3"/>
  <c r="F45" i="3"/>
  <c r="D45" i="3"/>
  <c r="B45" i="3"/>
  <c r="A45" i="3"/>
  <c r="V44" i="3"/>
  <c r="U44" i="3"/>
  <c r="N44" i="3"/>
  <c r="M44" i="3"/>
  <c r="H44" i="3"/>
  <c r="F44" i="3"/>
  <c r="D44" i="3"/>
  <c r="B44" i="3"/>
  <c r="A44" i="3"/>
  <c r="V43" i="3"/>
  <c r="U43" i="3"/>
  <c r="N43" i="3"/>
  <c r="M43" i="3"/>
  <c r="H43" i="3"/>
  <c r="F43" i="3"/>
  <c r="D43" i="3"/>
  <c r="B43" i="3"/>
  <c r="A43" i="3"/>
  <c r="V42" i="3"/>
  <c r="U42" i="3"/>
  <c r="N42" i="3"/>
  <c r="M42" i="3"/>
  <c r="H42" i="3"/>
  <c r="F42" i="3"/>
  <c r="D42" i="3"/>
  <c r="B42" i="3"/>
  <c r="A42" i="3"/>
  <c r="V41" i="3"/>
  <c r="U41" i="3"/>
  <c r="N41" i="3"/>
  <c r="M41" i="3"/>
  <c r="H41" i="3"/>
  <c r="F41" i="3"/>
  <c r="D41" i="3"/>
  <c r="B41" i="3"/>
  <c r="A41" i="3"/>
  <c r="V40" i="3"/>
  <c r="U40" i="3"/>
  <c r="N40" i="3"/>
  <c r="M40" i="3"/>
  <c r="H40" i="3"/>
  <c r="F40" i="3"/>
  <c r="D40" i="3"/>
  <c r="B40" i="3"/>
  <c r="A40" i="3"/>
  <c r="V39" i="3"/>
  <c r="U39" i="3"/>
  <c r="N39" i="3"/>
  <c r="M39" i="3"/>
  <c r="H39" i="3"/>
  <c r="F39" i="3"/>
  <c r="D39" i="3"/>
  <c r="B39" i="3"/>
  <c r="A39" i="3"/>
  <c r="V38" i="3"/>
  <c r="U38" i="3"/>
  <c r="N38" i="3"/>
  <c r="M38" i="3"/>
  <c r="H38" i="3"/>
  <c r="F38" i="3"/>
  <c r="D38" i="3"/>
  <c r="B38" i="3"/>
  <c r="A38" i="3"/>
  <c r="V37" i="3"/>
  <c r="U37" i="3"/>
  <c r="N37" i="3"/>
  <c r="M37" i="3"/>
  <c r="H37" i="3"/>
  <c r="F37" i="3"/>
  <c r="D37" i="3"/>
  <c r="B37" i="3"/>
  <c r="A37" i="3"/>
  <c r="V36" i="3"/>
  <c r="U36" i="3"/>
  <c r="N36" i="3"/>
  <c r="M36" i="3"/>
  <c r="H36" i="3"/>
  <c r="F36" i="3"/>
  <c r="D36" i="3"/>
  <c r="B36" i="3"/>
  <c r="A36" i="3"/>
  <c r="V35" i="3"/>
  <c r="U35" i="3"/>
  <c r="N35" i="3"/>
  <c r="M35" i="3"/>
  <c r="H35" i="3"/>
  <c r="F35" i="3"/>
  <c r="D35" i="3"/>
  <c r="B35" i="3"/>
  <c r="A35" i="3"/>
  <c r="V34" i="3"/>
  <c r="U34" i="3"/>
  <c r="N34" i="3"/>
  <c r="M34" i="3"/>
  <c r="H34" i="3"/>
  <c r="F34" i="3"/>
  <c r="D34" i="3"/>
  <c r="V33" i="3"/>
  <c r="U33" i="3"/>
  <c r="N33" i="3"/>
  <c r="M33" i="3"/>
  <c r="H33" i="3"/>
  <c r="F33" i="3"/>
  <c r="D33" i="3"/>
  <c r="V32" i="3"/>
  <c r="U32" i="3"/>
  <c r="N32" i="3"/>
  <c r="M32" i="3"/>
  <c r="H32" i="3"/>
  <c r="F32" i="3"/>
  <c r="D32" i="3"/>
  <c r="V31" i="3"/>
  <c r="U31" i="3"/>
  <c r="N31" i="3"/>
  <c r="M31" i="3"/>
  <c r="H31" i="3"/>
  <c r="F31" i="3"/>
  <c r="D31" i="3"/>
  <c r="V30" i="3"/>
  <c r="U30" i="3"/>
  <c r="N30" i="3"/>
  <c r="M30" i="3"/>
  <c r="H30" i="3"/>
  <c r="F30" i="3"/>
  <c r="D30" i="3"/>
  <c r="V29" i="3"/>
  <c r="U29" i="3"/>
  <c r="N29" i="3"/>
  <c r="M29" i="3"/>
  <c r="H29" i="3"/>
  <c r="F29" i="3"/>
  <c r="D29" i="3"/>
  <c r="V28" i="3"/>
  <c r="U28" i="3"/>
  <c r="N28" i="3"/>
  <c r="M28" i="3"/>
  <c r="H28" i="3"/>
  <c r="F28" i="3"/>
  <c r="D28" i="3"/>
  <c r="V27" i="3"/>
  <c r="U27" i="3"/>
  <c r="N27" i="3"/>
  <c r="M27" i="3"/>
  <c r="H27" i="3"/>
  <c r="F27" i="3"/>
  <c r="D27" i="3"/>
  <c r="V26" i="3"/>
  <c r="U26" i="3"/>
  <c r="N26" i="3"/>
  <c r="M26" i="3"/>
  <c r="H26" i="3"/>
  <c r="F26" i="3"/>
  <c r="D26" i="3"/>
  <c r="V25" i="3"/>
  <c r="U25" i="3"/>
  <c r="N25" i="3"/>
  <c r="M25" i="3"/>
  <c r="H25" i="3"/>
  <c r="F25" i="3"/>
  <c r="D25" i="3"/>
  <c r="V24" i="3"/>
  <c r="U24" i="3"/>
  <c r="N24" i="3"/>
  <c r="M24" i="3"/>
  <c r="H24" i="3"/>
  <c r="F24" i="3"/>
  <c r="D24" i="3"/>
  <c r="V23" i="3"/>
  <c r="U23" i="3"/>
  <c r="N23" i="3"/>
  <c r="M23" i="3"/>
  <c r="H23" i="3"/>
  <c r="F23" i="3"/>
  <c r="D23" i="3"/>
  <c r="V22" i="3"/>
  <c r="U22" i="3"/>
  <c r="N22" i="3"/>
  <c r="M22" i="3"/>
  <c r="H22" i="3"/>
  <c r="F22" i="3"/>
  <c r="D22" i="3"/>
  <c r="V21" i="3"/>
  <c r="U21" i="3"/>
  <c r="N21" i="3"/>
  <c r="M21" i="3"/>
  <c r="H21" i="3"/>
  <c r="F21" i="3"/>
  <c r="D21" i="3"/>
  <c r="V20" i="3"/>
  <c r="U20" i="3"/>
  <c r="N20" i="3"/>
  <c r="M20" i="3"/>
  <c r="H20" i="3"/>
  <c r="F20" i="3"/>
  <c r="D20" i="3"/>
  <c r="V19" i="3"/>
  <c r="U19" i="3"/>
  <c r="N19" i="3"/>
  <c r="M19" i="3"/>
  <c r="H19" i="3"/>
  <c r="F19" i="3"/>
  <c r="D19" i="3"/>
  <c r="V18" i="3"/>
  <c r="U18" i="3"/>
  <c r="N18" i="3"/>
  <c r="M18" i="3"/>
  <c r="H18" i="3"/>
  <c r="F18" i="3"/>
  <c r="D18" i="3"/>
  <c r="V17" i="3"/>
  <c r="U17" i="3"/>
  <c r="N17" i="3"/>
  <c r="M17" i="3"/>
  <c r="H17" i="3"/>
  <c r="F17" i="3"/>
  <c r="D17" i="3"/>
  <c r="V16" i="3"/>
  <c r="U16" i="3"/>
  <c r="N16" i="3"/>
  <c r="M16" i="3"/>
  <c r="H16" i="3"/>
  <c r="F16" i="3"/>
  <c r="D16" i="3"/>
  <c r="V15" i="3"/>
  <c r="U15" i="3"/>
  <c r="N15" i="3"/>
  <c r="M15" i="3"/>
  <c r="H15" i="3"/>
  <c r="F15" i="3"/>
  <c r="D15" i="3"/>
  <c r="V14" i="3"/>
  <c r="U14" i="3"/>
  <c r="N14" i="3"/>
  <c r="M14" i="3"/>
  <c r="H14" i="3"/>
  <c r="F14" i="3"/>
  <c r="D14" i="3"/>
  <c r="V13" i="3"/>
  <c r="U13" i="3"/>
  <c r="N13" i="3"/>
  <c r="M13" i="3"/>
  <c r="H13" i="3"/>
  <c r="F13" i="3"/>
  <c r="D13" i="3"/>
  <c r="V12" i="3"/>
  <c r="U12" i="3"/>
  <c r="N12" i="3"/>
  <c r="M12" i="3"/>
  <c r="H12" i="3"/>
  <c r="F12" i="3"/>
  <c r="D12" i="3"/>
  <c r="V11" i="3"/>
  <c r="U11" i="3"/>
  <c r="N11" i="3"/>
  <c r="M11" i="3"/>
  <c r="H11" i="3"/>
  <c r="F11" i="3"/>
  <c r="D11" i="3"/>
  <c r="V10" i="3"/>
  <c r="U10" i="3"/>
  <c r="N10" i="3"/>
  <c r="M10" i="3"/>
  <c r="H10" i="3"/>
  <c r="F10" i="3"/>
  <c r="D10" i="3"/>
  <c r="V9" i="3"/>
  <c r="U9" i="3"/>
  <c r="N9" i="3"/>
  <c r="M9" i="3"/>
  <c r="H9" i="3"/>
  <c r="F9" i="3"/>
  <c r="D9" i="3"/>
  <c r="V8" i="3"/>
  <c r="U8" i="3"/>
  <c r="N8" i="3"/>
  <c r="M8" i="3"/>
  <c r="H8" i="3"/>
  <c r="F8" i="3"/>
  <c r="D8" i="3"/>
  <c r="V7" i="3"/>
  <c r="U7" i="3"/>
  <c r="N7" i="3"/>
  <c r="M7" i="3"/>
  <c r="H7" i="3"/>
  <c r="F7" i="3"/>
  <c r="D7" i="3"/>
  <c r="V6" i="3"/>
  <c r="U6" i="3"/>
  <c r="N6" i="3"/>
  <c r="M6" i="3"/>
  <c r="H6" i="3"/>
  <c r="F6" i="3"/>
  <c r="D6" i="3"/>
  <c r="V5" i="3"/>
  <c r="U5" i="3"/>
  <c r="N5" i="3"/>
  <c r="M5" i="3"/>
  <c r="H5" i="3"/>
  <c r="F5" i="3"/>
  <c r="D5" i="3"/>
  <c r="N4" i="3"/>
  <c r="M4" i="3"/>
  <c r="H4" i="3"/>
  <c r="F4" i="3"/>
  <c r="D4" i="3"/>
  <c r="N3" i="3"/>
  <c r="M3" i="3"/>
  <c r="H3" i="3"/>
  <c r="F3" i="3"/>
  <c r="D3" i="3"/>
  <c r="E1" i="3"/>
  <c r="L501" i="2"/>
  <c r="K501" i="2"/>
  <c r="F501" i="2"/>
  <c r="D501" i="2"/>
  <c r="C501" i="2"/>
  <c r="B501" i="2"/>
  <c r="A501" i="2"/>
  <c r="L500" i="2"/>
  <c r="K500" i="2"/>
  <c r="F500" i="2"/>
  <c r="D500" i="2"/>
  <c r="C500" i="2"/>
  <c r="B500" i="2"/>
  <c r="A500" i="2"/>
  <c r="L499" i="2"/>
  <c r="K499" i="2"/>
  <c r="F499" i="2"/>
  <c r="D499" i="2"/>
  <c r="C499" i="2"/>
  <c r="B499" i="2"/>
  <c r="A499" i="2"/>
  <c r="L498" i="2"/>
  <c r="K498" i="2"/>
  <c r="F498" i="2"/>
  <c r="D498" i="2"/>
  <c r="C498" i="2"/>
  <c r="B498" i="2"/>
  <c r="A498" i="2"/>
  <c r="L497" i="2"/>
  <c r="K497" i="2"/>
  <c r="F497" i="2"/>
  <c r="D497" i="2"/>
  <c r="C497" i="2"/>
  <c r="B497" i="2"/>
  <c r="A497" i="2"/>
  <c r="L496" i="2"/>
  <c r="K496" i="2"/>
  <c r="F496" i="2"/>
  <c r="D496" i="2"/>
  <c r="C496" i="2"/>
  <c r="B496" i="2"/>
  <c r="A496" i="2"/>
  <c r="L495" i="2"/>
  <c r="K495" i="2"/>
  <c r="F495" i="2"/>
  <c r="D495" i="2"/>
  <c r="C495" i="2"/>
  <c r="B495" i="2"/>
  <c r="A495" i="2"/>
  <c r="L494" i="2"/>
  <c r="K494" i="2"/>
  <c r="F494" i="2"/>
  <c r="D494" i="2"/>
  <c r="C494" i="2"/>
  <c r="B494" i="2"/>
  <c r="A494" i="2"/>
  <c r="L493" i="2"/>
  <c r="K493" i="2"/>
  <c r="F493" i="2"/>
  <c r="D493" i="2"/>
  <c r="C493" i="2"/>
  <c r="B493" i="2"/>
  <c r="A493" i="2"/>
  <c r="L492" i="2"/>
  <c r="K492" i="2"/>
  <c r="F492" i="2"/>
  <c r="D492" i="2"/>
  <c r="C492" i="2"/>
  <c r="B492" i="2"/>
  <c r="A492" i="2"/>
  <c r="L491" i="2"/>
  <c r="K491" i="2"/>
  <c r="F491" i="2"/>
  <c r="D491" i="2"/>
  <c r="C491" i="2"/>
  <c r="B491" i="2"/>
  <c r="A491" i="2"/>
  <c r="L490" i="2"/>
  <c r="K490" i="2"/>
  <c r="F490" i="2"/>
  <c r="D490" i="2"/>
  <c r="C490" i="2"/>
  <c r="B490" i="2"/>
  <c r="A490" i="2"/>
  <c r="L489" i="2"/>
  <c r="K489" i="2"/>
  <c r="F489" i="2"/>
  <c r="D489" i="2"/>
  <c r="C489" i="2"/>
  <c r="B489" i="2"/>
  <c r="A489" i="2"/>
  <c r="L488" i="2"/>
  <c r="K488" i="2"/>
  <c r="F488" i="2"/>
  <c r="D488" i="2"/>
  <c r="C488" i="2"/>
  <c r="B488" i="2"/>
  <c r="A488" i="2"/>
  <c r="L487" i="2"/>
  <c r="K487" i="2"/>
  <c r="F487" i="2"/>
  <c r="D487" i="2"/>
  <c r="C487" i="2"/>
  <c r="B487" i="2"/>
  <c r="A487" i="2"/>
  <c r="L486" i="2"/>
  <c r="K486" i="2"/>
  <c r="F486" i="2"/>
  <c r="D486" i="2"/>
  <c r="C486" i="2"/>
  <c r="B486" i="2"/>
  <c r="A486" i="2"/>
  <c r="L485" i="2"/>
  <c r="K485" i="2"/>
  <c r="F485" i="2"/>
  <c r="D485" i="2"/>
  <c r="C485" i="2"/>
  <c r="B485" i="2"/>
  <c r="A485" i="2"/>
  <c r="L484" i="2"/>
  <c r="K484" i="2"/>
  <c r="F484" i="2"/>
  <c r="D484" i="2"/>
  <c r="C484" i="2"/>
  <c r="B484" i="2"/>
  <c r="A484" i="2"/>
  <c r="L483" i="2"/>
  <c r="K483" i="2"/>
  <c r="F483" i="2"/>
  <c r="D483" i="2"/>
  <c r="C483" i="2"/>
  <c r="B483" i="2"/>
  <c r="A483" i="2"/>
  <c r="L482" i="2"/>
  <c r="K482" i="2"/>
  <c r="F482" i="2"/>
  <c r="D482" i="2"/>
  <c r="C482" i="2"/>
  <c r="B482" i="2"/>
  <c r="A482" i="2"/>
  <c r="L481" i="2"/>
  <c r="K481" i="2"/>
  <c r="F481" i="2"/>
  <c r="D481" i="2"/>
  <c r="C481" i="2"/>
  <c r="B481" i="2"/>
  <c r="A481" i="2"/>
  <c r="L480" i="2"/>
  <c r="K480" i="2"/>
  <c r="F480" i="2"/>
  <c r="D480" i="2"/>
  <c r="C480" i="2"/>
  <c r="B480" i="2"/>
  <c r="A480" i="2"/>
  <c r="L479" i="2"/>
  <c r="K479" i="2"/>
  <c r="F479" i="2"/>
  <c r="D479" i="2"/>
  <c r="C479" i="2"/>
  <c r="B479" i="2"/>
  <c r="A479" i="2"/>
  <c r="L478" i="2"/>
  <c r="K478" i="2"/>
  <c r="F478" i="2"/>
  <c r="D478" i="2"/>
  <c r="C478" i="2"/>
  <c r="B478" i="2"/>
  <c r="A478" i="2"/>
  <c r="L477" i="2"/>
  <c r="K477" i="2"/>
  <c r="F477" i="2"/>
  <c r="D477" i="2"/>
  <c r="C477" i="2"/>
  <c r="B477" i="2"/>
  <c r="A477" i="2"/>
  <c r="L476" i="2"/>
  <c r="K476" i="2"/>
  <c r="F476" i="2"/>
  <c r="D476" i="2"/>
  <c r="C476" i="2"/>
  <c r="B476" i="2"/>
  <c r="A476" i="2"/>
  <c r="L475" i="2"/>
  <c r="K475" i="2"/>
  <c r="F475" i="2"/>
  <c r="D475" i="2"/>
  <c r="C475" i="2"/>
  <c r="B475" i="2"/>
  <c r="A475" i="2"/>
  <c r="L474" i="2"/>
  <c r="K474" i="2"/>
  <c r="F474" i="2"/>
  <c r="D474" i="2"/>
  <c r="C474" i="2"/>
  <c r="B474" i="2"/>
  <c r="A474" i="2"/>
  <c r="L473" i="2"/>
  <c r="K473" i="2"/>
  <c r="F473" i="2"/>
  <c r="D473" i="2"/>
  <c r="C473" i="2"/>
  <c r="B473" i="2"/>
  <c r="A473" i="2"/>
  <c r="L472" i="2"/>
  <c r="K472" i="2"/>
  <c r="F472" i="2"/>
  <c r="D472" i="2"/>
  <c r="C472" i="2"/>
  <c r="B472" i="2"/>
  <c r="A472" i="2"/>
  <c r="L471" i="2"/>
  <c r="K471" i="2"/>
  <c r="F471" i="2"/>
  <c r="D471" i="2"/>
  <c r="C471" i="2"/>
  <c r="B471" i="2"/>
  <c r="A471" i="2"/>
  <c r="L470" i="2"/>
  <c r="K470" i="2"/>
  <c r="F470" i="2"/>
  <c r="D470" i="2"/>
  <c r="C470" i="2"/>
  <c r="B470" i="2"/>
  <c r="A470" i="2"/>
  <c r="L469" i="2"/>
  <c r="K469" i="2"/>
  <c r="F469" i="2"/>
  <c r="D469" i="2"/>
  <c r="C469" i="2"/>
  <c r="B469" i="2"/>
  <c r="A469" i="2"/>
  <c r="L468" i="2"/>
  <c r="K468" i="2"/>
  <c r="F468" i="2"/>
  <c r="D468" i="2"/>
  <c r="C468" i="2"/>
  <c r="B468" i="2"/>
  <c r="A468" i="2"/>
  <c r="L467" i="2"/>
  <c r="K467" i="2"/>
  <c r="F467" i="2"/>
  <c r="D467" i="2"/>
  <c r="C467" i="2"/>
  <c r="B467" i="2"/>
  <c r="A467" i="2"/>
  <c r="L466" i="2"/>
  <c r="K466" i="2"/>
  <c r="F466" i="2"/>
  <c r="D466" i="2"/>
  <c r="C466" i="2"/>
  <c r="B466" i="2"/>
  <c r="A466" i="2"/>
  <c r="L465" i="2"/>
  <c r="K465" i="2"/>
  <c r="F465" i="2"/>
  <c r="D465" i="2"/>
  <c r="C465" i="2"/>
  <c r="B465" i="2"/>
  <c r="A465" i="2"/>
  <c r="L464" i="2"/>
  <c r="K464" i="2"/>
  <c r="F464" i="2"/>
  <c r="D464" i="2"/>
  <c r="C464" i="2"/>
  <c r="B464" i="2"/>
  <c r="A464" i="2"/>
  <c r="L463" i="2"/>
  <c r="K463" i="2"/>
  <c r="F463" i="2"/>
  <c r="D463" i="2"/>
  <c r="C463" i="2"/>
  <c r="B463" i="2"/>
  <c r="A463" i="2"/>
  <c r="L462" i="2"/>
  <c r="K462" i="2"/>
  <c r="F462" i="2"/>
  <c r="D462" i="2"/>
  <c r="C462" i="2"/>
  <c r="B462" i="2"/>
  <c r="A462" i="2"/>
  <c r="L461" i="2"/>
  <c r="K461" i="2"/>
  <c r="F461" i="2"/>
  <c r="D461" i="2"/>
  <c r="C461" i="2"/>
  <c r="B461" i="2"/>
  <c r="A461" i="2"/>
  <c r="L460" i="2"/>
  <c r="K460" i="2"/>
  <c r="F460" i="2"/>
  <c r="D460" i="2"/>
  <c r="C460" i="2"/>
  <c r="B460" i="2"/>
  <c r="A460" i="2"/>
  <c r="L459" i="2"/>
  <c r="K459" i="2"/>
  <c r="F459" i="2"/>
  <c r="D459" i="2"/>
  <c r="C459" i="2"/>
  <c r="B459" i="2"/>
  <c r="A459" i="2"/>
  <c r="L458" i="2"/>
  <c r="K458" i="2"/>
  <c r="F458" i="2"/>
  <c r="D458" i="2"/>
  <c r="C458" i="2"/>
  <c r="B458" i="2"/>
  <c r="A458" i="2"/>
  <c r="L457" i="2"/>
  <c r="K457" i="2"/>
  <c r="F457" i="2"/>
  <c r="D457" i="2"/>
  <c r="C457" i="2"/>
  <c r="B457" i="2"/>
  <c r="A457" i="2"/>
  <c r="L456" i="2"/>
  <c r="K456" i="2"/>
  <c r="F456" i="2"/>
  <c r="D456" i="2"/>
  <c r="C456" i="2"/>
  <c r="B456" i="2"/>
  <c r="A456" i="2"/>
  <c r="L455" i="2"/>
  <c r="K455" i="2"/>
  <c r="F455" i="2"/>
  <c r="D455" i="2"/>
  <c r="C455" i="2"/>
  <c r="B455" i="2"/>
  <c r="A455" i="2"/>
  <c r="L454" i="2"/>
  <c r="K454" i="2"/>
  <c r="F454" i="2"/>
  <c r="D454" i="2"/>
  <c r="C454" i="2"/>
  <c r="B454" i="2"/>
  <c r="A454" i="2"/>
  <c r="L453" i="2"/>
  <c r="K453" i="2"/>
  <c r="F453" i="2"/>
  <c r="D453" i="2"/>
  <c r="C453" i="2"/>
  <c r="B453" i="2"/>
  <c r="A453" i="2"/>
  <c r="L452" i="2"/>
  <c r="K452" i="2"/>
  <c r="F452" i="2"/>
  <c r="D452" i="2"/>
  <c r="C452" i="2"/>
  <c r="B452" i="2"/>
  <c r="A452" i="2"/>
  <c r="L451" i="2"/>
  <c r="K451" i="2"/>
  <c r="F451" i="2"/>
  <c r="D451" i="2"/>
  <c r="C451" i="2"/>
  <c r="B451" i="2"/>
  <c r="A451" i="2"/>
  <c r="L450" i="2"/>
  <c r="K450" i="2"/>
  <c r="F450" i="2"/>
  <c r="D450" i="2"/>
  <c r="C450" i="2"/>
  <c r="B450" i="2"/>
  <c r="A450" i="2"/>
  <c r="L449" i="2"/>
  <c r="K449" i="2"/>
  <c r="F449" i="2"/>
  <c r="D449" i="2"/>
  <c r="C449" i="2"/>
  <c r="B449" i="2"/>
  <c r="A449" i="2"/>
  <c r="L448" i="2"/>
  <c r="K448" i="2"/>
  <c r="F448" i="2"/>
  <c r="D448" i="2"/>
  <c r="C448" i="2"/>
  <c r="B448" i="2"/>
  <c r="A448" i="2"/>
  <c r="L447" i="2"/>
  <c r="K447" i="2"/>
  <c r="F447" i="2"/>
  <c r="D447" i="2"/>
  <c r="C447" i="2"/>
  <c r="B447" i="2"/>
  <c r="A447" i="2"/>
  <c r="L446" i="2"/>
  <c r="K446" i="2"/>
  <c r="F446" i="2"/>
  <c r="D446" i="2"/>
  <c r="C446" i="2"/>
  <c r="B446" i="2"/>
  <c r="A446" i="2"/>
  <c r="L445" i="2"/>
  <c r="K445" i="2"/>
  <c r="F445" i="2"/>
  <c r="D445" i="2"/>
  <c r="C445" i="2"/>
  <c r="B445" i="2"/>
  <c r="A445" i="2"/>
  <c r="L444" i="2"/>
  <c r="K444" i="2"/>
  <c r="F444" i="2"/>
  <c r="D444" i="2"/>
  <c r="C444" i="2"/>
  <c r="B444" i="2"/>
  <c r="A444" i="2"/>
  <c r="L443" i="2"/>
  <c r="K443" i="2"/>
  <c r="F443" i="2"/>
  <c r="D443" i="2"/>
  <c r="C443" i="2"/>
  <c r="B443" i="2"/>
  <c r="A443" i="2"/>
  <c r="L442" i="2"/>
  <c r="K442" i="2"/>
  <c r="F442" i="2"/>
  <c r="D442" i="2"/>
  <c r="C442" i="2"/>
  <c r="B442" i="2"/>
  <c r="A442" i="2"/>
  <c r="L441" i="2"/>
  <c r="K441" i="2"/>
  <c r="F441" i="2"/>
  <c r="D441" i="2"/>
  <c r="C441" i="2"/>
  <c r="B441" i="2"/>
  <c r="A441" i="2"/>
  <c r="L440" i="2"/>
  <c r="K440" i="2"/>
  <c r="F440" i="2"/>
  <c r="D440" i="2"/>
  <c r="C440" i="2"/>
  <c r="B440" i="2"/>
  <c r="A440" i="2"/>
  <c r="L439" i="2"/>
  <c r="K439" i="2"/>
  <c r="F439" i="2"/>
  <c r="D439" i="2"/>
  <c r="C439" i="2"/>
  <c r="B439" i="2"/>
  <c r="A439" i="2"/>
  <c r="L438" i="2"/>
  <c r="K438" i="2"/>
  <c r="F438" i="2"/>
  <c r="D438" i="2"/>
  <c r="C438" i="2"/>
  <c r="B438" i="2"/>
  <c r="A438" i="2"/>
  <c r="L437" i="2"/>
  <c r="K437" i="2"/>
  <c r="F437" i="2"/>
  <c r="D437" i="2"/>
  <c r="C437" i="2"/>
  <c r="B437" i="2"/>
  <c r="A437" i="2"/>
  <c r="L436" i="2"/>
  <c r="K436" i="2"/>
  <c r="F436" i="2"/>
  <c r="D436" i="2"/>
  <c r="C436" i="2"/>
  <c r="B436" i="2"/>
  <c r="A436" i="2"/>
  <c r="L435" i="2"/>
  <c r="K435" i="2"/>
  <c r="F435" i="2"/>
  <c r="D435" i="2"/>
  <c r="C435" i="2"/>
  <c r="B435" i="2"/>
  <c r="A435" i="2"/>
  <c r="L434" i="2"/>
  <c r="K434" i="2"/>
  <c r="F434" i="2"/>
  <c r="D434" i="2"/>
  <c r="C434" i="2"/>
  <c r="B434" i="2"/>
  <c r="A434" i="2"/>
  <c r="L433" i="2"/>
  <c r="K433" i="2"/>
  <c r="F433" i="2"/>
  <c r="D433" i="2"/>
  <c r="C433" i="2"/>
  <c r="B433" i="2"/>
  <c r="A433" i="2"/>
  <c r="L432" i="2"/>
  <c r="K432" i="2"/>
  <c r="F432" i="2"/>
  <c r="D432" i="2"/>
  <c r="C432" i="2"/>
  <c r="B432" i="2"/>
  <c r="A432" i="2"/>
  <c r="L431" i="2"/>
  <c r="K431" i="2"/>
  <c r="F431" i="2"/>
  <c r="D431" i="2"/>
  <c r="C431" i="2"/>
  <c r="B431" i="2"/>
  <c r="A431" i="2"/>
  <c r="L430" i="2"/>
  <c r="K430" i="2"/>
  <c r="F430" i="2"/>
  <c r="D430" i="2"/>
  <c r="C430" i="2"/>
  <c r="B430" i="2"/>
  <c r="A430" i="2"/>
  <c r="L429" i="2"/>
  <c r="K429" i="2"/>
  <c r="F429" i="2"/>
  <c r="D429" i="2"/>
  <c r="C429" i="2"/>
  <c r="B429" i="2"/>
  <c r="A429" i="2"/>
  <c r="L428" i="2"/>
  <c r="K428" i="2"/>
  <c r="F428" i="2"/>
  <c r="D428" i="2"/>
  <c r="C428" i="2"/>
  <c r="B428" i="2"/>
  <c r="A428" i="2"/>
  <c r="L427" i="2"/>
  <c r="K427" i="2"/>
  <c r="F427" i="2"/>
  <c r="D427" i="2"/>
  <c r="C427" i="2"/>
  <c r="B427" i="2"/>
  <c r="A427" i="2"/>
  <c r="L426" i="2"/>
  <c r="K426" i="2"/>
  <c r="F426" i="2"/>
  <c r="D426" i="2"/>
  <c r="C426" i="2"/>
  <c r="B426" i="2"/>
  <c r="A426" i="2"/>
  <c r="L425" i="2"/>
  <c r="K425" i="2"/>
  <c r="F425" i="2"/>
  <c r="D425" i="2"/>
  <c r="C425" i="2"/>
  <c r="B425" i="2"/>
  <c r="A425" i="2"/>
  <c r="L424" i="2"/>
  <c r="K424" i="2"/>
  <c r="F424" i="2"/>
  <c r="D424" i="2"/>
  <c r="C424" i="2"/>
  <c r="B424" i="2"/>
  <c r="A424" i="2"/>
  <c r="L423" i="2"/>
  <c r="K423" i="2"/>
  <c r="F423" i="2"/>
  <c r="D423" i="2"/>
  <c r="C423" i="2"/>
  <c r="B423" i="2"/>
  <c r="A423" i="2"/>
  <c r="L422" i="2"/>
  <c r="K422" i="2"/>
  <c r="F422" i="2"/>
  <c r="D422" i="2"/>
  <c r="C422" i="2"/>
  <c r="B422" i="2"/>
  <c r="A422" i="2"/>
  <c r="L421" i="2"/>
  <c r="K421" i="2"/>
  <c r="F421" i="2"/>
  <c r="D421" i="2"/>
  <c r="C421" i="2"/>
  <c r="B421" i="2"/>
  <c r="A421" i="2"/>
  <c r="L420" i="2"/>
  <c r="K420" i="2"/>
  <c r="F420" i="2"/>
  <c r="D420" i="2"/>
  <c r="C420" i="2"/>
  <c r="B420" i="2"/>
  <c r="A420" i="2"/>
  <c r="L419" i="2"/>
  <c r="K419" i="2"/>
  <c r="F419" i="2"/>
  <c r="D419" i="2"/>
  <c r="C419" i="2"/>
  <c r="B419" i="2"/>
  <c r="A419" i="2"/>
  <c r="L418" i="2"/>
  <c r="K418" i="2"/>
  <c r="F418" i="2"/>
  <c r="D418" i="2"/>
  <c r="C418" i="2"/>
  <c r="B418" i="2"/>
  <c r="A418" i="2"/>
  <c r="L417" i="2"/>
  <c r="K417" i="2"/>
  <c r="F417" i="2"/>
  <c r="D417" i="2"/>
  <c r="C417" i="2"/>
  <c r="B417" i="2"/>
  <c r="A417" i="2"/>
  <c r="L416" i="2"/>
  <c r="K416" i="2"/>
  <c r="F416" i="2"/>
  <c r="D416" i="2"/>
  <c r="C416" i="2"/>
  <c r="B416" i="2"/>
  <c r="A416" i="2"/>
  <c r="L415" i="2"/>
  <c r="K415" i="2"/>
  <c r="F415" i="2"/>
  <c r="D415" i="2"/>
  <c r="C415" i="2"/>
  <c r="B415" i="2"/>
  <c r="A415" i="2"/>
  <c r="L414" i="2"/>
  <c r="K414" i="2"/>
  <c r="F414" i="2"/>
  <c r="D414" i="2"/>
  <c r="C414" i="2"/>
  <c r="B414" i="2"/>
  <c r="A414" i="2"/>
  <c r="L413" i="2"/>
  <c r="K413" i="2"/>
  <c r="F413" i="2"/>
  <c r="D413" i="2"/>
  <c r="C413" i="2"/>
  <c r="B413" i="2"/>
  <c r="A413" i="2"/>
  <c r="L412" i="2"/>
  <c r="K412" i="2"/>
  <c r="F412" i="2"/>
  <c r="D412" i="2"/>
  <c r="C412" i="2"/>
  <c r="B412" i="2"/>
  <c r="A412" i="2"/>
  <c r="L411" i="2"/>
  <c r="K411" i="2"/>
  <c r="F411" i="2"/>
  <c r="D411" i="2"/>
  <c r="C411" i="2"/>
  <c r="B411" i="2"/>
  <c r="A411" i="2"/>
  <c r="L410" i="2"/>
  <c r="K410" i="2"/>
  <c r="F410" i="2"/>
  <c r="D410" i="2"/>
  <c r="C410" i="2"/>
  <c r="B410" i="2"/>
  <c r="A410" i="2"/>
  <c r="L409" i="2"/>
  <c r="K409" i="2"/>
  <c r="F409" i="2"/>
  <c r="D409" i="2"/>
  <c r="C409" i="2"/>
  <c r="B409" i="2"/>
  <c r="A409" i="2"/>
  <c r="L408" i="2"/>
  <c r="K408" i="2"/>
  <c r="F408" i="2"/>
  <c r="D408" i="2"/>
  <c r="C408" i="2"/>
  <c r="B408" i="2"/>
  <c r="A408" i="2"/>
  <c r="L407" i="2"/>
  <c r="K407" i="2"/>
  <c r="F407" i="2"/>
  <c r="D407" i="2"/>
  <c r="C407" i="2"/>
  <c r="B407" i="2"/>
  <c r="A407" i="2"/>
  <c r="L406" i="2"/>
  <c r="K406" i="2"/>
  <c r="F406" i="2"/>
  <c r="D406" i="2"/>
  <c r="C406" i="2"/>
  <c r="B406" i="2"/>
  <c r="A406" i="2"/>
  <c r="L405" i="2"/>
  <c r="K405" i="2"/>
  <c r="F405" i="2"/>
  <c r="D405" i="2"/>
  <c r="C405" i="2"/>
  <c r="B405" i="2"/>
  <c r="A405" i="2"/>
  <c r="L404" i="2"/>
  <c r="K404" i="2"/>
  <c r="F404" i="2"/>
  <c r="D404" i="2"/>
  <c r="C404" i="2"/>
  <c r="B404" i="2"/>
  <c r="A404" i="2"/>
  <c r="L403" i="2"/>
  <c r="K403" i="2"/>
  <c r="F403" i="2"/>
  <c r="D403" i="2"/>
  <c r="C403" i="2"/>
  <c r="B403" i="2"/>
  <c r="A403" i="2"/>
  <c r="L402" i="2"/>
  <c r="K402" i="2"/>
  <c r="F402" i="2"/>
  <c r="D402" i="2"/>
  <c r="C402" i="2"/>
  <c r="B402" i="2"/>
  <c r="A402" i="2"/>
  <c r="L401" i="2"/>
  <c r="K401" i="2"/>
  <c r="F401" i="2"/>
  <c r="D401" i="2"/>
  <c r="C401" i="2"/>
  <c r="B401" i="2"/>
  <c r="A401" i="2"/>
  <c r="L400" i="2"/>
  <c r="K400" i="2"/>
  <c r="F400" i="2"/>
  <c r="D400" i="2"/>
  <c r="C400" i="2"/>
  <c r="B400" i="2"/>
  <c r="A400" i="2"/>
  <c r="L399" i="2"/>
  <c r="K399" i="2"/>
  <c r="F399" i="2"/>
  <c r="D399" i="2"/>
  <c r="C399" i="2"/>
  <c r="B399" i="2"/>
  <c r="A399" i="2"/>
  <c r="L398" i="2"/>
  <c r="K398" i="2"/>
  <c r="F398" i="2"/>
  <c r="D398" i="2"/>
  <c r="C398" i="2"/>
  <c r="B398" i="2"/>
  <c r="A398" i="2"/>
  <c r="L397" i="2"/>
  <c r="K397" i="2"/>
  <c r="F397" i="2"/>
  <c r="D397" i="2"/>
  <c r="C397" i="2"/>
  <c r="B397" i="2"/>
  <c r="A397" i="2"/>
  <c r="L396" i="2"/>
  <c r="K396" i="2"/>
  <c r="F396" i="2"/>
  <c r="D396" i="2"/>
  <c r="C396" i="2"/>
  <c r="B396" i="2"/>
  <c r="A396" i="2"/>
  <c r="L395" i="2"/>
  <c r="K395" i="2"/>
  <c r="F395" i="2"/>
  <c r="D395" i="2"/>
  <c r="C395" i="2"/>
  <c r="B395" i="2"/>
  <c r="A395" i="2"/>
  <c r="L394" i="2"/>
  <c r="K394" i="2"/>
  <c r="F394" i="2"/>
  <c r="D394" i="2"/>
  <c r="C394" i="2"/>
  <c r="B394" i="2"/>
  <c r="A394" i="2"/>
  <c r="L393" i="2"/>
  <c r="K393" i="2"/>
  <c r="F393" i="2"/>
  <c r="D393" i="2"/>
  <c r="C393" i="2"/>
  <c r="B393" i="2"/>
  <c r="A393" i="2"/>
  <c r="L392" i="2"/>
  <c r="K392" i="2"/>
  <c r="F392" i="2"/>
  <c r="D392" i="2"/>
  <c r="C392" i="2"/>
  <c r="B392" i="2"/>
  <c r="A392" i="2"/>
  <c r="L391" i="2"/>
  <c r="K391" i="2"/>
  <c r="F391" i="2"/>
  <c r="D391" i="2"/>
  <c r="C391" i="2"/>
  <c r="B391" i="2"/>
  <c r="A391" i="2"/>
  <c r="L390" i="2"/>
  <c r="K390" i="2"/>
  <c r="F390" i="2"/>
  <c r="D390" i="2"/>
  <c r="C390" i="2"/>
  <c r="B390" i="2"/>
  <c r="A390" i="2"/>
  <c r="L389" i="2"/>
  <c r="K389" i="2"/>
  <c r="F389" i="2"/>
  <c r="D389" i="2"/>
  <c r="C389" i="2"/>
  <c r="B389" i="2"/>
  <c r="A389" i="2"/>
  <c r="L388" i="2"/>
  <c r="K388" i="2"/>
  <c r="F388" i="2"/>
  <c r="D388" i="2"/>
  <c r="C388" i="2"/>
  <c r="B388" i="2"/>
  <c r="A388" i="2"/>
  <c r="L387" i="2"/>
  <c r="K387" i="2"/>
  <c r="F387" i="2"/>
  <c r="D387" i="2"/>
  <c r="C387" i="2"/>
  <c r="B387" i="2"/>
  <c r="A387" i="2"/>
  <c r="L386" i="2"/>
  <c r="K386" i="2"/>
  <c r="F386" i="2"/>
  <c r="D386" i="2"/>
  <c r="C386" i="2"/>
  <c r="B386" i="2"/>
  <c r="A386" i="2"/>
  <c r="L385" i="2"/>
  <c r="K385" i="2"/>
  <c r="F385" i="2"/>
  <c r="D385" i="2"/>
  <c r="C385" i="2"/>
  <c r="B385" i="2"/>
  <c r="A385" i="2"/>
  <c r="L384" i="2"/>
  <c r="K384" i="2"/>
  <c r="F384" i="2"/>
  <c r="D384" i="2"/>
  <c r="C384" i="2"/>
  <c r="B384" i="2"/>
  <c r="A384" i="2"/>
  <c r="L383" i="2"/>
  <c r="K383" i="2"/>
  <c r="F383" i="2"/>
  <c r="D383" i="2"/>
  <c r="C383" i="2"/>
  <c r="B383" i="2"/>
  <c r="A383" i="2"/>
  <c r="L382" i="2"/>
  <c r="K382" i="2"/>
  <c r="F382" i="2"/>
  <c r="D382" i="2"/>
  <c r="C382" i="2"/>
  <c r="B382" i="2"/>
  <c r="A382" i="2"/>
  <c r="L381" i="2"/>
  <c r="K381" i="2"/>
  <c r="F381" i="2"/>
  <c r="D381" i="2"/>
  <c r="C381" i="2"/>
  <c r="B381" i="2"/>
  <c r="A381" i="2"/>
  <c r="L380" i="2"/>
  <c r="K380" i="2"/>
  <c r="F380" i="2"/>
  <c r="D380" i="2"/>
  <c r="C380" i="2"/>
  <c r="B380" i="2"/>
  <c r="A380" i="2"/>
  <c r="L379" i="2"/>
  <c r="K379" i="2"/>
  <c r="F379" i="2"/>
  <c r="D379" i="2"/>
  <c r="C379" i="2"/>
  <c r="B379" i="2"/>
  <c r="A379" i="2"/>
  <c r="L378" i="2"/>
  <c r="K378" i="2"/>
  <c r="F378" i="2"/>
  <c r="D378" i="2"/>
  <c r="C378" i="2"/>
  <c r="B378" i="2"/>
  <c r="A378" i="2"/>
  <c r="L377" i="2"/>
  <c r="K377" i="2"/>
  <c r="F377" i="2"/>
  <c r="D377" i="2"/>
  <c r="C377" i="2"/>
  <c r="B377" i="2"/>
  <c r="A377" i="2"/>
  <c r="L376" i="2"/>
  <c r="K376" i="2"/>
  <c r="F376" i="2"/>
  <c r="D376" i="2"/>
  <c r="C376" i="2"/>
  <c r="B376" i="2"/>
  <c r="A376" i="2"/>
  <c r="L375" i="2"/>
  <c r="K375" i="2"/>
  <c r="F375" i="2"/>
  <c r="D375" i="2"/>
  <c r="C375" i="2"/>
  <c r="B375" i="2"/>
  <c r="A375" i="2"/>
  <c r="L374" i="2"/>
  <c r="K374" i="2"/>
  <c r="F374" i="2"/>
  <c r="D374" i="2"/>
  <c r="C374" i="2"/>
  <c r="B374" i="2"/>
  <c r="A374" i="2"/>
  <c r="L373" i="2"/>
  <c r="K373" i="2"/>
  <c r="F373" i="2"/>
  <c r="D373" i="2"/>
  <c r="C373" i="2"/>
  <c r="B373" i="2"/>
  <c r="A373" i="2"/>
  <c r="L372" i="2"/>
  <c r="K372" i="2"/>
  <c r="F372" i="2"/>
  <c r="D372" i="2"/>
  <c r="C372" i="2"/>
  <c r="B372" i="2"/>
  <c r="A372" i="2"/>
  <c r="L371" i="2"/>
  <c r="K371" i="2"/>
  <c r="F371" i="2"/>
  <c r="D371" i="2"/>
  <c r="C371" i="2"/>
  <c r="B371" i="2"/>
  <c r="A371" i="2"/>
  <c r="L370" i="2"/>
  <c r="K370" i="2"/>
  <c r="F370" i="2"/>
  <c r="D370" i="2"/>
  <c r="C370" i="2"/>
  <c r="B370" i="2"/>
  <c r="A370" i="2"/>
  <c r="L369" i="2"/>
  <c r="K369" i="2"/>
  <c r="F369" i="2"/>
  <c r="D369" i="2"/>
  <c r="C369" i="2"/>
  <c r="B369" i="2"/>
  <c r="A369" i="2"/>
  <c r="L368" i="2"/>
  <c r="K368" i="2"/>
  <c r="F368" i="2"/>
  <c r="D368" i="2"/>
  <c r="C368" i="2"/>
  <c r="B368" i="2"/>
  <c r="A368" i="2"/>
  <c r="L367" i="2"/>
  <c r="K367" i="2"/>
  <c r="F367" i="2"/>
  <c r="D367" i="2"/>
  <c r="C367" i="2"/>
  <c r="B367" i="2"/>
  <c r="A367" i="2"/>
  <c r="L366" i="2"/>
  <c r="K366" i="2"/>
  <c r="F366" i="2"/>
  <c r="D366" i="2"/>
  <c r="C366" i="2"/>
  <c r="B366" i="2"/>
  <c r="A366" i="2"/>
  <c r="L365" i="2"/>
  <c r="K365" i="2"/>
  <c r="F365" i="2"/>
  <c r="D365" i="2"/>
  <c r="C365" i="2"/>
  <c r="B365" i="2"/>
  <c r="A365" i="2"/>
  <c r="L364" i="2"/>
  <c r="K364" i="2"/>
  <c r="F364" i="2"/>
  <c r="D364" i="2"/>
  <c r="C364" i="2"/>
  <c r="B364" i="2"/>
  <c r="A364" i="2"/>
  <c r="L363" i="2"/>
  <c r="K363" i="2"/>
  <c r="F363" i="2"/>
  <c r="D363" i="2"/>
  <c r="C363" i="2"/>
  <c r="B363" i="2"/>
  <c r="A363" i="2"/>
  <c r="L362" i="2"/>
  <c r="K362" i="2"/>
  <c r="F362" i="2"/>
  <c r="D362" i="2"/>
  <c r="C362" i="2"/>
  <c r="B362" i="2"/>
  <c r="A362" i="2"/>
  <c r="L361" i="2"/>
  <c r="K361" i="2"/>
  <c r="F361" i="2"/>
  <c r="D361" i="2"/>
  <c r="C361" i="2"/>
  <c r="B361" i="2"/>
  <c r="A361" i="2"/>
  <c r="L360" i="2"/>
  <c r="K360" i="2"/>
  <c r="F360" i="2"/>
  <c r="D360" i="2"/>
  <c r="C360" i="2"/>
  <c r="B360" i="2"/>
  <c r="A360" i="2"/>
  <c r="L359" i="2"/>
  <c r="K359" i="2"/>
  <c r="F359" i="2"/>
  <c r="D359" i="2"/>
  <c r="C359" i="2"/>
  <c r="B359" i="2"/>
  <c r="A359" i="2"/>
  <c r="L358" i="2"/>
  <c r="K358" i="2"/>
  <c r="F358" i="2"/>
  <c r="D358" i="2"/>
  <c r="C358" i="2"/>
  <c r="B358" i="2"/>
  <c r="A358" i="2"/>
  <c r="L357" i="2"/>
  <c r="K357" i="2"/>
  <c r="F357" i="2"/>
  <c r="D357" i="2"/>
  <c r="C357" i="2"/>
  <c r="B357" i="2"/>
  <c r="A357" i="2"/>
  <c r="L356" i="2"/>
  <c r="K356" i="2"/>
  <c r="F356" i="2"/>
  <c r="D356" i="2"/>
  <c r="C356" i="2"/>
  <c r="B356" i="2"/>
  <c r="A356" i="2"/>
  <c r="L355" i="2"/>
  <c r="K355" i="2"/>
  <c r="F355" i="2"/>
  <c r="D355" i="2"/>
  <c r="C355" i="2"/>
  <c r="B355" i="2"/>
  <c r="A355" i="2"/>
  <c r="L354" i="2"/>
  <c r="K354" i="2"/>
  <c r="F354" i="2"/>
  <c r="D354" i="2"/>
  <c r="C354" i="2"/>
  <c r="B354" i="2"/>
  <c r="A354" i="2"/>
  <c r="L353" i="2"/>
  <c r="K353" i="2"/>
  <c r="F353" i="2"/>
  <c r="D353" i="2"/>
  <c r="C353" i="2"/>
  <c r="B353" i="2"/>
  <c r="A353" i="2"/>
  <c r="L352" i="2"/>
  <c r="K352" i="2"/>
  <c r="F352" i="2"/>
  <c r="D352" i="2"/>
  <c r="C352" i="2"/>
  <c r="B352" i="2"/>
  <c r="A352" i="2"/>
  <c r="L351" i="2"/>
  <c r="K351" i="2"/>
  <c r="F351" i="2"/>
  <c r="D351" i="2"/>
  <c r="C351" i="2"/>
  <c r="B351" i="2"/>
  <c r="A351" i="2"/>
  <c r="L350" i="2"/>
  <c r="K350" i="2"/>
  <c r="F350" i="2"/>
  <c r="D350" i="2"/>
  <c r="C350" i="2"/>
  <c r="B350" i="2"/>
  <c r="A350" i="2"/>
  <c r="L349" i="2"/>
  <c r="K349" i="2"/>
  <c r="F349" i="2"/>
  <c r="D349" i="2"/>
  <c r="C349" i="2"/>
  <c r="B349" i="2"/>
  <c r="A349" i="2"/>
  <c r="L348" i="2"/>
  <c r="K348" i="2"/>
  <c r="F348" i="2"/>
  <c r="D348" i="2"/>
  <c r="C348" i="2"/>
  <c r="B348" i="2"/>
  <c r="A348" i="2"/>
  <c r="L347" i="2"/>
  <c r="K347" i="2"/>
  <c r="F347" i="2"/>
  <c r="D347" i="2"/>
  <c r="C347" i="2"/>
  <c r="B347" i="2"/>
  <c r="A347" i="2"/>
  <c r="L346" i="2"/>
  <c r="K346" i="2"/>
  <c r="F346" i="2"/>
  <c r="D346" i="2"/>
  <c r="C346" i="2"/>
  <c r="B346" i="2"/>
  <c r="A346" i="2"/>
  <c r="L345" i="2"/>
  <c r="K345" i="2"/>
  <c r="F345" i="2"/>
  <c r="D345" i="2"/>
  <c r="C345" i="2"/>
  <c r="B345" i="2"/>
  <c r="A345" i="2"/>
  <c r="L344" i="2"/>
  <c r="K344" i="2"/>
  <c r="F344" i="2"/>
  <c r="D344" i="2"/>
  <c r="C344" i="2"/>
  <c r="B344" i="2"/>
  <c r="A344" i="2"/>
  <c r="L343" i="2"/>
  <c r="K343" i="2"/>
  <c r="F343" i="2"/>
  <c r="D343" i="2"/>
  <c r="C343" i="2"/>
  <c r="B343" i="2"/>
  <c r="A343" i="2"/>
  <c r="L342" i="2"/>
  <c r="K342" i="2"/>
  <c r="F342" i="2"/>
  <c r="D342" i="2"/>
  <c r="C342" i="2"/>
  <c r="B342" i="2"/>
  <c r="A342" i="2"/>
  <c r="L341" i="2"/>
  <c r="K341" i="2"/>
  <c r="F341" i="2"/>
  <c r="D341" i="2"/>
  <c r="C341" i="2"/>
  <c r="B341" i="2"/>
  <c r="A341" i="2"/>
  <c r="L340" i="2"/>
  <c r="K340" i="2"/>
  <c r="F340" i="2"/>
  <c r="D340" i="2"/>
  <c r="C340" i="2"/>
  <c r="B340" i="2"/>
  <c r="A340" i="2"/>
  <c r="L339" i="2"/>
  <c r="K339" i="2"/>
  <c r="F339" i="2"/>
  <c r="D339" i="2"/>
  <c r="C339" i="2"/>
  <c r="B339" i="2"/>
  <c r="A339" i="2"/>
  <c r="L338" i="2"/>
  <c r="K338" i="2"/>
  <c r="F338" i="2"/>
  <c r="D338" i="2"/>
  <c r="C338" i="2"/>
  <c r="B338" i="2"/>
  <c r="A338" i="2"/>
  <c r="L337" i="2"/>
  <c r="K337" i="2"/>
  <c r="F337" i="2"/>
  <c r="D337" i="2"/>
  <c r="C337" i="2"/>
  <c r="B337" i="2"/>
  <c r="A337" i="2"/>
  <c r="L336" i="2"/>
  <c r="K336" i="2"/>
  <c r="F336" i="2"/>
  <c r="D336" i="2"/>
  <c r="C336" i="2"/>
  <c r="B336" i="2"/>
  <c r="A336" i="2"/>
  <c r="L335" i="2"/>
  <c r="K335" i="2"/>
  <c r="F335" i="2"/>
  <c r="D335" i="2"/>
  <c r="C335" i="2"/>
  <c r="B335" i="2"/>
  <c r="A335" i="2"/>
  <c r="L334" i="2"/>
  <c r="K334" i="2"/>
  <c r="F334" i="2"/>
  <c r="D334" i="2"/>
  <c r="C334" i="2"/>
  <c r="B334" i="2"/>
  <c r="A334" i="2"/>
  <c r="L333" i="2"/>
  <c r="K333" i="2"/>
  <c r="F333" i="2"/>
  <c r="D333" i="2"/>
  <c r="C333" i="2"/>
  <c r="B333" i="2"/>
  <c r="A333" i="2"/>
  <c r="L332" i="2"/>
  <c r="K332" i="2"/>
  <c r="F332" i="2"/>
  <c r="D332" i="2"/>
  <c r="C332" i="2"/>
  <c r="B332" i="2"/>
  <c r="A332" i="2"/>
  <c r="L331" i="2"/>
  <c r="K331" i="2"/>
  <c r="F331" i="2"/>
  <c r="D331" i="2"/>
  <c r="C331" i="2"/>
  <c r="B331" i="2"/>
  <c r="A331" i="2"/>
  <c r="L330" i="2"/>
  <c r="K330" i="2"/>
  <c r="F330" i="2"/>
  <c r="D330" i="2"/>
  <c r="C330" i="2"/>
  <c r="B330" i="2"/>
  <c r="A330" i="2"/>
  <c r="L329" i="2"/>
  <c r="K329" i="2"/>
  <c r="F329" i="2"/>
  <c r="D329" i="2"/>
  <c r="C329" i="2"/>
  <c r="B329" i="2"/>
  <c r="A329" i="2"/>
  <c r="L328" i="2"/>
  <c r="K328" i="2"/>
  <c r="F328" i="2"/>
  <c r="D328" i="2"/>
  <c r="C328" i="2"/>
  <c r="B328" i="2"/>
  <c r="A328" i="2"/>
  <c r="L327" i="2"/>
  <c r="K327" i="2"/>
  <c r="F327" i="2"/>
  <c r="D327" i="2"/>
  <c r="C327" i="2"/>
  <c r="B327" i="2"/>
  <c r="A327" i="2"/>
  <c r="L326" i="2"/>
  <c r="K326" i="2"/>
  <c r="F326" i="2"/>
  <c r="D326" i="2"/>
  <c r="C326" i="2"/>
  <c r="B326" i="2"/>
  <c r="A326" i="2"/>
  <c r="L325" i="2"/>
  <c r="K325" i="2"/>
  <c r="F325" i="2"/>
  <c r="D325" i="2"/>
  <c r="C325" i="2"/>
  <c r="B325" i="2"/>
  <c r="A325" i="2"/>
  <c r="L324" i="2"/>
  <c r="K324" i="2"/>
  <c r="F324" i="2"/>
  <c r="D324" i="2"/>
  <c r="C324" i="2"/>
  <c r="B324" i="2"/>
  <c r="A324" i="2"/>
  <c r="L323" i="2"/>
  <c r="K323" i="2"/>
  <c r="F323" i="2"/>
  <c r="D323" i="2"/>
  <c r="C323" i="2"/>
  <c r="B323" i="2"/>
  <c r="A323" i="2"/>
  <c r="L322" i="2"/>
  <c r="K322" i="2"/>
  <c r="F322" i="2"/>
  <c r="D322" i="2"/>
  <c r="C322" i="2"/>
  <c r="B322" i="2"/>
  <c r="A322" i="2"/>
  <c r="L321" i="2"/>
  <c r="K321" i="2"/>
  <c r="F321" i="2"/>
  <c r="D321" i="2"/>
  <c r="C321" i="2"/>
  <c r="B321" i="2"/>
  <c r="A321" i="2"/>
  <c r="L320" i="2"/>
  <c r="K320" i="2"/>
  <c r="F320" i="2"/>
  <c r="D320" i="2"/>
  <c r="C320" i="2"/>
  <c r="B320" i="2"/>
  <c r="A320" i="2"/>
  <c r="L319" i="2"/>
  <c r="K319" i="2"/>
  <c r="F319" i="2"/>
  <c r="D319" i="2"/>
  <c r="C319" i="2"/>
  <c r="B319" i="2"/>
  <c r="A319" i="2"/>
  <c r="L318" i="2"/>
  <c r="K318" i="2"/>
  <c r="F318" i="2"/>
  <c r="D318" i="2"/>
  <c r="C318" i="2"/>
  <c r="B318" i="2"/>
  <c r="A318" i="2"/>
  <c r="L317" i="2"/>
  <c r="K317" i="2"/>
  <c r="F317" i="2"/>
  <c r="D317" i="2"/>
  <c r="C317" i="2"/>
  <c r="B317" i="2"/>
  <c r="A317" i="2"/>
  <c r="L316" i="2"/>
  <c r="K316" i="2"/>
  <c r="F316" i="2"/>
  <c r="D316" i="2"/>
  <c r="C316" i="2"/>
  <c r="B316" i="2"/>
  <c r="A316" i="2"/>
  <c r="L315" i="2"/>
  <c r="K315" i="2"/>
  <c r="F315" i="2"/>
  <c r="D315" i="2"/>
  <c r="C315" i="2"/>
  <c r="B315" i="2"/>
  <c r="A315" i="2"/>
  <c r="L314" i="2"/>
  <c r="K314" i="2"/>
  <c r="F314" i="2"/>
  <c r="D314" i="2"/>
  <c r="C314" i="2"/>
  <c r="B314" i="2"/>
  <c r="A314" i="2"/>
  <c r="L313" i="2"/>
  <c r="K313" i="2"/>
  <c r="F313" i="2"/>
  <c r="D313" i="2"/>
  <c r="C313" i="2"/>
  <c r="B313" i="2"/>
  <c r="A313" i="2"/>
  <c r="L312" i="2"/>
  <c r="K312" i="2"/>
  <c r="F312" i="2"/>
  <c r="D312" i="2"/>
  <c r="C312" i="2"/>
  <c r="B312" i="2"/>
  <c r="A312" i="2"/>
  <c r="L311" i="2"/>
  <c r="K311" i="2"/>
  <c r="F311" i="2"/>
  <c r="D311" i="2"/>
  <c r="C311" i="2"/>
  <c r="B311" i="2"/>
  <c r="A311" i="2"/>
  <c r="L310" i="2"/>
  <c r="K310" i="2"/>
  <c r="F310" i="2"/>
  <c r="D310" i="2"/>
  <c r="C310" i="2"/>
  <c r="B310" i="2"/>
  <c r="A310" i="2"/>
  <c r="L309" i="2"/>
  <c r="K309" i="2"/>
  <c r="F309" i="2"/>
  <c r="D309" i="2"/>
  <c r="C309" i="2"/>
  <c r="B309" i="2"/>
  <c r="A309" i="2"/>
  <c r="L308" i="2"/>
  <c r="K308" i="2"/>
  <c r="F308" i="2"/>
  <c r="D308" i="2"/>
  <c r="C308" i="2"/>
  <c r="B308" i="2"/>
  <c r="A308" i="2"/>
  <c r="L307" i="2"/>
  <c r="K307" i="2"/>
  <c r="F307" i="2"/>
  <c r="D307" i="2"/>
  <c r="C307" i="2"/>
  <c r="B307" i="2"/>
  <c r="A307" i="2"/>
  <c r="L306" i="2"/>
  <c r="K306" i="2"/>
  <c r="F306" i="2"/>
  <c r="D306" i="2"/>
  <c r="C306" i="2"/>
  <c r="B306" i="2"/>
  <c r="A306" i="2"/>
  <c r="L305" i="2"/>
  <c r="K305" i="2"/>
  <c r="F305" i="2"/>
  <c r="D305" i="2"/>
  <c r="C305" i="2"/>
  <c r="B305" i="2"/>
  <c r="A305" i="2"/>
  <c r="L304" i="2"/>
  <c r="K304" i="2"/>
  <c r="F304" i="2"/>
  <c r="D304" i="2"/>
  <c r="C304" i="2"/>
  <c r="B304" i="2"/>
  <c r="A304" i="2"/>
  <c r="L303" i="2"/>
  <c r="K303" i="2"/>
  <c r="F303" i="2"/>
  <c r="D303" i="2"/>
  <c r="C303" i="2"/>
  <c r="B303" i="2"/>
  <c r="A303" i="2"/>
  <c r="L302" i="2"/>
  <c r="K302" i="2"/>
  <c r="F302" i="2"/>
  <c r="D302" i="2"/>
  <c r="C302" i="2"/>
  <c r="B302" i="2"/>
  <c r="A302" i="2"/>
  <c r="L301" i="2"/>
  <c r="K301" i="2"/>
  <c r="F301" i="2"/>
  <c r="D301" i="2"/>
  <c r="C301" i="2"/>
  <c r="B301" i="2"/>
  <c r="A301" i="2"/>
  <c r="L300" i="2"/>
  <c r="K300" i="2"/>
  <c r="F300" i="2"/>
  <c r="D300" i="2"/>
  <c r="C300" i="2"/>
  <c r="B300" i="2"/>
  <c r="A300" i="2"/>
  <c r="L299" i="2"/>
  <c r="K299" i="2"/>
  <c r="F299" i="2"/>
  <c r="D299" i="2"/>
  <c r="C299" i="2"/>
  <c r="B299" i="2"/>
  <c r="A299" i="2"/>
  <c r="L298" i="2"/>
  <c r="K298" i="2"/>
  <c r="F298" i="2"/>
  <c r="D298" i="2"/>
  <c r="C298" i="2"/>
  <c r="B298" i="2"/>
  <c r="A298" i="2"/>
  <c r="L297" i="2"/>
  <c r="K297" i="2"/>
  <c r="F297" i="2"/>
  <c r="D297" i="2"/>
  <c r="C297" i="2"/>
  <c r="B297" i="2"/>
  <c r="A297" i="2"/>
  <c r="L296" i="2"/>
  <c r="K296" i="2"/>
  <c r="F296" i="2"/>
  <c r="D296" i="2"/>
  <c r="C296" i="2"/>
  <c r="B296" i="2"/>
  <c r="A296" i="2"/>
  <c r="L295" i="2"/>
  <c r="K295" i="2"/>
  <c r="F295" i="2"/>
  <c r="D295" i="2"/>
  <c r="C295" i="2"/>
  <c r="B295" i="2"/>
  <c r="A295" i="2"/>
  <c r="L294" i="2"/>
  <c r="K294" i="2"/>
  <c r="F294" i="2"/>
  <c r="D294" i="2"/>
  <c r="C294" i="2"/>
  <c r="B294" i="2"/>
  <c r="A294" i="2"/>
  <c r="L293" i="2"/>
  <c r="K293" i="2"/>
  <c r="F293" i="2"/>
  <c r="D293" i="2"/>
  <c r="C293" i="2"/>
  <c r="B293" i="2"/>
  <c r="A293" i="2"/>
  <c r="L292" i="2"/>
  <c r="K292" i="2"/>
  <c r="F292" i="2"/>
  <c r="D292" i="2"/>
  <c r="C292" i="2"/>
  <c r="B292" i="2"/>
  <c r="A292" i="2"/>
  <c r="L291" i="2"/>
  <c r="K291" i="2"/>
  <c r="F291" i="2"/>
  <c r="D291" i="2"/>
  <c r="C291" i="2"/>
  <c r="B291" i="2"/>
  <c r="A291" i="2"/>
  <c r="L290" i="2"/>
  <c r="K290" i="2"/>
  <c r="F290" i="2"/>
  <c r="D290" i="2"/>
  <c r="C290" i="2"/>
  <c r="B290" i="2"/>
  <c r="A290" i="2"/>
  <c r="L289" i="2"/>
  <c r="K289" i="2"/>
  <c r="F289" i="2"/>
  <c r="D289" i="2"/>
  <c r="C289" i="2"/>
  <c r="B289" i="2"/>
  <c r="A289" i="2"/>
  <c r="L288" i="2"/>
  <c r="K288" i="2"/>
  <c r="F288" i="2"/>
  <c r="D288" i="2"/>
  <c r="C288" i="2"/>
  <c r="B288" i="2"/>
  <c r="A288" i="2"/>
  <c r="L287" i="2"/>
  <c r="K287" i="2"/>
  <c r="F287" i="2"/>
  <c r="D287" i="2"/>
  <c r="C287" i="2"/>
  <c r="B287" i="2"/>
  <c r="A287" i="2"/>
  <c r="L286" i="2"/>
  <c r="K286" i="2"/>
  <c r="F286" i="2"/>
  <c r="D286" i="2"/>
  <c r="C286" i="2"/>
  <c r="B286" i="2"/>
  <c r="A286" i="2"/>
  <c r="L285" i="2"/>
  <c r="K285" i="2"/>
  <c r="F285" i="2"/>
  <c r="D285" i="2"/>
  <c r="C285" i="2"/>
  <c r="B285" i="2"/>
  <c r="A285" i="2"/>
  <c r="L284" i="2"/>
  <c r="K284" i="2"/>
  <c r="F284" i="2"/>
  <c r="D284" i="2"/>
  <c r="C284" i="2"/>
  <c r="B284" i="2"/>
  <c r="A284" i="2"/>
  <c r="L283" i="2"/>
  <c r="K283" i="2"/>
  <c r="F283" i="2"/>
  <c r="D283" i="2"/>
  <c r="C283" i="2"/>
  <c r="B283" i="2"/>
  <c r="A283" i="2"/>
  <c r="L282" i="2"/>
  <c r="K282" i="2"/>
  <c r="F282" i="2"/>
  <c r="D282" i="2"/>
  <c r="C282" i="2"/>
  <c r="B282" i="2"/>
  <c r="A282" i="2"/>
  <c r="L281" i="2"/>
  <c r="K281" i="2"/>
  <c r="F281" i="2"/>
  <c r="D281" i="2"/>
  <c r="C281" i="2"/>
  <c r="B281" i="2"/>
  <c r="A281" i="2"/>
  <c r="L280" i="2"/>
  <c r="K280" i="2"/>
  <c r="F280" i="2"/>
  <c r="D280" i="2"/>
  <c r="C280" i="2"/>
  <c r="B280" i="2"/>
  <c r="A280" i="2"/>
  <c r="L279" i="2"/>
  <c r="K279" i="2"/>
  <c r="F279" i="2"/>
  <c r="D279" i="2"/>
  <c r="C279" i="2"/>
  <c r="B279" i="2"/>
  <c r="A279" i="2"/>
  <c r="L278" i="2"/>
  <c r="K278" i="2"/>
  <c r="F278" i="2"/>
  <c r="D278" i="2"/>
  <c r="C278" i="2"/>
  <c r="B278" i="2"/>
  <c r="A278" i="2"/>
  <c r="L277" i="2"/>
  <c r="K277" i="2"/>
  <c r="F277" i="2"/>
  <c r="D277" i="2"/>
  <c r="C277" i="2"/>
  <c r="B277" i="2"/>
  <c r="A277" i="2"/>
  <c r="L276" i="2"/>
  <c r="K276" i="2"/>
  <c r="F276" i="2"/>
  <c r="D276" i="2"/>
  <c r="C276" i="2"/>
  <c r="B276" i="2"/>
  <c r="A276" i="2"/>
  <c r="L275" i="2"/>
  <c r="K275" i="2"/>
  <c r="F275" i="2"/>
  <c r="D275" i="2"/>
  <c r="C275" i="2"/>
  <c r="B275" i="2"/>
  <c r="A275" i="2"/>
  <c r="L274" i="2"/>
  <c r="K274" i="2"/>
  <c r="F274" i="2"/>
  <c r="D274" i="2"/>
  <c r="C274" i="2"/>
  <c r="B274" i="2"/>
  <c r="A274" i="2"/>
  <c r="L273" i="2"/>
  <c r="K273" i="2"/>
  <c r="F273" i="2"/>
  <c r="D273" i="2"/>
  <c r="C273" i="2"/>
  <c r="B273" i="2"/>
  <c r="A273" i="2"/>
  <c r="L272" i="2"/>
  <c r="K272" i="2"/>
  <c r="F272" i="2"/>
  <c r="D272" i="2"/>
  <c r="C272" i="2"/>
  <c r="B272" i="2"/>
  <c r="A272" i="2"/>
  <c r="L271" i="2"/>
  <c r="K271" i="2"/>
  <c r="F271" i="2"/>
  <c r="D271" i="2"/>
  <c r="C271" i="2"/>
  <c r="B271" i="2"/>
  <c r="A271" i="2"/>
  <c r="L270" i="2"/>
  <c r="K270" i="2"/>
  <c r="F270" i="2"/>
  <c r="D270" i="2"/>
  <c r="C270" i="2"/>
  <c r="B270" i="2"/>
  <c r="A270" i="2"/>
  <c r="L269" i="2"/>
  <c r="K269" i="2"/>
  <c r="F269" i="2"/>
  <c r="D269" i="2"/>
  <c r="C269" i="2"/>
  <c r="B269" i="2"/>
  <c r="A269" i="2"/>
  <c r="L268" i="2"/>
  <c r="K268" i="2"/>
  <c r="F268" i="2"/>
  <c r="D268" i="2"/>
  <c r="C268" i="2"/>
  <c r="B268" i="2"/>
  <c r="A268" i="2"/>
  <c r="L267" i="2"/>
  <c r="K267" i="2"/>
  <c r="F267" i="2"/>
  <c r="D267" i="2"/>
  <c r="C267" i="2"/>
  <c r="B267" i="2"/>
  <c r="A267" i="2"/>
  <c r="L266" i="2"/>
  <c r="K266" i="2"/>
  <c r="F266" i="2"/>
  <c r="D266" i="2"/>
  <c r="C266" i="2"/>
  <c r="B266" i="2"/>
  <c r="A266" i="2"/>
  <c r="L265" i="2"/>
  <c r="K265" i="2"/>
  <c r="F265" i="2"/>
  <c r="D265" i="2"/>
  <c r="C265" i="2"/>
  <c r="B265" i="2"/>
  <c r="A265" i="2"/>
  <c r="L264" i="2"/>
  <c r="K264" i="2"/>
  <c r="F264" i="2"/>
  <c r="D264" i="2"/>
  <c r="C264" i="2"/>
  <c r="B264" i="2"/>
  <c r="A264" i="2"/>
  <c r="L263" i="2"/>
  <c r="K263" i="2"/>
  <c r="F263" i="2"/>
  <c r="D263" i="2"/>
  <c r="C263" i="2"/>
  <c r="B263" i="2"/>
  <c r="A263" i="2"/>
  <c r="L262" i="2"/>
  <c r="K262" i="2"/>
  <c r="F262" i="2"/>
  <c r="D262" i="2"/>
  <c r="C262" i="2"/>
  <c r="B262" i="2"/>
  <c r="A262" i="2"/>
  <c r="L261" i="2"/>
  <c r="K261" i="2"/>
  <c r="F261" i="2"/>
  <c r="D261" i="2"/>
  <c r="C261" i="2"/>
  <c r="B261" i="2"/>
  <c r="A261" i="2"/>
  <c r="L260" i="2"/>
  <c r="K260" i="2"/>
  <c r="F260" i="2"/>
  <c r="D260" i="2"/>
  <c r="C260" i="2"/>
  <c r="B260" i="2"/>
  <c r="A260" i="2"/>
  <c r="L259" i="2"/>
  <c r="K259" i="2"/>
  <c r="F259" i="2"/>
  <c r="D259" i="2"/>
  <c r="C259" i="2"/>
  <c r="B259" i="2"/>
  <c r="A259" i="2"/>
  <c r="L258" i="2"/>
  <c r="K258" i="2"/>
  <c r="F258" i="2"/>
  <c r="D258" i="2"/>
  <c r="C258" i="2"/>
  <c r="B258" i="2"/>
  <c r="A258" i="2"/>
  <c r="L257" i="2"/>
  <c r="K257" i="2"/>
  <c r="F257" i="2"/>
  <c r="D257" i="2"/>
  <c r="C257" i="2"/>
  <c r="B257" i="2"/>
  <c r="A257" i="2"/>
  <c r="L256" i="2"/>
  <c r="K256" i="2"/>
  <c r="F256" i="2"/>
  <c r="D256" i="2"/>
  <c r="C256" i="2"/>
  <c r="B256" i="2"/>
  <c r="A256" i="2"/>
  <c r="L255" i="2"/>
  <c r="K255" i="2"/>
  <c r="F255" i="2"/>
  <c r="D255" i="2"/>
  <c r="C255" i="2"/>
  <c r="B255" i="2"/>
  <c r="A255" i="2"/>
  <c r="L254" i="2"/>
  <c r="K254" i="2"/>
  <c r="F254" i="2"/>
  <c r="D254" i="2"/>
  <c r="C254" i="2"/>
  <c r="B254" i="2"/>
  <c r="A254" i="2"/>
  <c r="L253" i="2"/>
  <c r="K253" i="2"/>
  <c r="F253" i="2"/>
  <c r="D253" i="2"/>
  <c r="C253" i="2"/>
  <c r="B253" i="2"/>
  <c r="A253" i="2"/>
  <c r="L252" i="2"/>
  <c r="K252" i="2"/>
  <c r="F252" i="2"/>
  <c r="D252" i="2"/>
  <c r="C252" i="2"/>
  <c r="B252" i="2"/>
  <c r="A252" i="2"/>
  <c r="L251" i="2"/>
  <c r="K251" i="2"/>
  <c r="F251" i="2"/>
  <c r="D251" i="2"/>
  <c r="C251" i="2"/>
  <c r="B251" i="2"/>
  <c r="A251" i="2"/>
  <c r="L250" i="2"/>
  <c r="K250" i="2"/>
  <c r="F250" i="2"/>
  <c r="D250" i="2"/>
  <c r="C250" i="2"/>
  <c r="B250" i="2"/>
  <c r="A250" i="2"/>
  <c r="L249" i="2"/>
  <c r="K249" i="2"/>
  <c r="F249" i="2"/>
  <c r="D249" i="2"/>
  <c r="C249" i="2"/>
  <c r="B249" i="2"/>
  <c r="A249" i="2"/>
  <c r="L248" i="2"/>
  <c r="K248" i="2"/>
  <c r="F248" i="2"/>
  <c r="D248" i="2"/>
  <c r="C248" i="2"/>
  <c r="B248" i="2"/>
  <c r="A248" i="2"/>
  <c r="L247" i="2"/>
  <c r="K247" i="2"/>
  <c r="F247" i="2"/>
  <c r="D247" i="2"/>
  <c r="C247" i="2"/>
  <c r="B247" i="2"/>
  <c r="A247" i="2"/>
  <c r="L246" i="2"/>
  <c r="K246" i="2"/>
  <c r="F246" i="2"/>
  <c r="D246" i="2"/>
  <c r="C246" i="2"/>
  <c r="B246" i="2"/>
  <c r="A246" i="2"/>
  <c r="L245" i="2"/>
  <c r="K245" i="2"/>
  <c r="F245" i="2"/>
  <c r="D245" i="2"/>
  <c r="C245" i="2"/>
  <c r="B245" i="2"/>
  <c r="A245" i="2"/>
  <c r="L244" i="2"/>
  <c r="K244" i="2"/>
  <c r="F244" i="2"/>
  <c r="D244" i="2"/>
  <c r="C244" i="2"/>
  <c r="B244" i="2"/>
  <c r="A244" i="2"/>
  <c r="L243" i="2"/>
  <c r="K243" i="2"/>
  <c r="F243" i="2"/>
  <c r="D243" i="2"/>
  <c r="C243" i="2"/>
  <c r="B243" i="2"/>
  <c r="A243" i="2"/>
  <c r="L242" i="2"/>
  <c r="K242" i="2"/>
  <c r="F242" i="2"/>
  <c r="D242" i="2"/>
  <c r="C242" i="2"/>
  <c r="B242" i="2"/>
  <c r="A242" i="2"/>
  <c r="L241" i="2"/>
  <c r="K241" i="2"/>
  <c r="F241" i="2"/>
  <c r="D241" i="2"/>
  <c r="C241" i="2"/>
  <c r="B241" i="2"/>
  <c r="A241" i="2"/>
  <c r="L240" i="2"/>
  <c r="K240" i="2"/>
  <c r="F240" i="2"/>
  <c r="D240" i="2"/>
  <c r="C240" i="2"/>
  <c r="B240" i="2"/>
  <c r="A240" i="2"/>
  <c r="L239" i="2"/>
  <c r="K239" i="2"/>
  <c r="F239" i="2"/>
  <c r="D239" i="2"/>
  <c r="C239" i="2"/>
  <c r="B239" i="2"/>
  <c r="A239" i="2"/>
  <c r="L238" i="2"/>
  <c r="K238" i="2"/>
  <c r="F238" i="2"/>
  <c r="D238" i="2"/>
  <c r="C238" i="2"/>
  <c r="B238" i="2"/>
  <c r="A238" i="2"/>
  <c r="L237" i="2"/>
  <c r="K237" i="2"/>
  <c r="F237" i="2"/>
  <c r="D237" i="2"/>
  <c r="C237" i="2"/>
  <c r="B237" i="2"/>
  <c r="A237" i="2"/>
  <c r="L236" i="2"/>
  <c r="K236" i="2"/>
  <c r="F236" i="2"/>
  <c r="D236" i="2"/>
  <c r="C236" i="2"/>
  <c r="B236" i="2"/>
  <c r="A236" i="2"/>
  <c r="L235" i="2"/>
  <c r="K235" i="2"/>
  <c r="F235" i="2"/>
  <c r="D235" i="2"/>
  <c r="C235" i="2"/>
  <c r="B235" i="2"/>
  <c r="A235" i="2"/>
  <c r="L234" i="2"/>
  <c r="K234" i="2"/>
  <c r="F234" i="2"/>
  <c r="D234" i="2"/>
  <c r="C234" i="2"/>
  <c r="B234" i="2"/>
  <c r="A234" i="2"/>
  <c r="L233" i="2"/>
  <c r="K233" i="2"/>
  <c r="F233" i="2"/>
  <c r="D233" i="2"/>
  <c r="C233" i="2"/>
  <c r="B233" i="2"/>
  <c r="A233" i="2"/>
  <c r="L232" i="2"/>
  <c r="K232" i="2"/>
  <c r="F232" i="2"/>
  <c r="D232" i="2"/>
  <c r="C232" i="2"/>
  <c r="B232" i="2"/>
  <c r="A232" i="2"/>
  <c r="L231" i="2"/>
  <c r="K231" i="2"/>
  <c r="F231" i="2"/>
  <c r="D231" i="2"/>
  <c r="C231" i="2"/>
  <c r="B231" i="2"/>
  <c r="A231" i="2"/>
  <c r="L230" i="2"/>
  <c r="K230" i="2"/>
  <c r="F230" i="2"/>
  <c r="D230" i="2"/>
  <c r="C230" i="2"/>
  <c r="B230" i="2"/>
  <c r="A230" i="2"/>
  <c r="L229" i="2"/>
  <c r="K229" i="2"/>
  <c r="F229" i="2"/>
  <c r="D229" i="2"/>
  <c r="C229" i="2"/>
  <c r="B229" i="2"/>
  <c r="A229" i="2"/>
  <c r="L228" i="2"/>
  <c r="K228" i="2"/>
  <c r="F228" i="2"/>
  <c r="D228" i="2"/>
  <c r="C228" i="2"/>
  <c r="B228" i="2"/>
  <c r="A228" i="2"/>
  <c r="L227" i="2"/>
  <c r="K227" i="2"/>
  <c r="F227" i="2"/>
  <c r="D227" i="2"/>
  <c r="C227" i="2"/>
  <c r="B227" i="2"/>
  <c r="A227" i="2"/>
  <c r="L226" i="2"/>
  <c r="K226" i="2"/>
  <c r="F226" i="2"/>
  <c r="D226" i="2"/>
  <c r="C226" i="2"/>
  <c r="B226" i="2"/>
  <c r="A226" i="2"/>
  <c r="L225" i="2"/>
  <c r="K225" i="2"/>
  <c r="F225" i="2"/>
  <c r="D225" i="2"/>
  <c r="C225" i="2"/>
  <c r="B225" i="2"/>
  <c r="A225" i="2"/>
  <c r="L224" i="2"/>
  <c r="K224" i="2"/>
  <c r="F224" i="2"/>
  <c r="D224" i="2"/>
  <c r="C224" i="2"/>
  <c r="B224" i="2"/>
  <c r="A224" i="2"/>
  <c r="L223" i="2"/>
  <c r="K223" i="2"/>
  <c r="F223" i="2"/>
  <c r="D223" i="2"/>
  <c r="C223" i="2"/>
  <c r="B223" i="2"/>
  <c r="A223" i="2"/>
  <c r="L222" i="2"/>
  <c r="K222" i="2"/>
  <c r="F222" i="2"/>
  <c r="D222" i="2"/>
  <c r="C222" i="2"/>
  <c r="B222" i="2"/>
  <c r="A222" i="2"/>
  <c r="L221" i="2"/>
  <c r="K221" i="2"/>
  <c r="F221" i="2"/>
  <c r="D221" i="2"/>
  <c r="C221" i="2"/>
  <c r="B221" i="2"/>
  <c r="A221" i="2"/>
  <c r="L220" i="2"/>
  <c r="K220" i="2"/>
  <c r="F220" i="2"/>
  <c r="D220" i="2"/>
  <c r="C220" i="2"/>
  <c r="B220" i="2"/>
  <c r="A220" i="2"/>
  <c r="L219" i="2"/>
  <c r="K219" i="2"/>
  <c r="F219" i="2"/>
  <c r="D219" i="2"/>
  <c r="C219" i="2"/>
  <c r="B219" i="2"/>
  <c r="A219" i="2"/>
  <c r="L218" i="2"/>
  <c r="K218" i="2"/>
  <c r="F218" i="2"/>
  <c r="D218" i="2"/>
  <c r="C218" i="2"/>
  <c r="B218" i="2"/>
  <c r="A218" i="2"/>
  <c r="L217" i="2"/>
  <c r="K217" i="2"/>
  <c r="F217" i="2"/>
  <c r="D217" i="2"/>
  <c r="C217" i="2"/>
  <c r="B217" i="2"/>
  <c r="A217" i="2"/>
  <c r="L216" i="2"/>
  <c r="K216" i="2"/>
  <c r="F216" i="2"/>
  <c r="D216" i="2"/>
  <c r="C216" i="2"/>
  <c r="B216" i="2"/>
  <c r="A216" i="2"/>
  <c r="L215" i="2"/>
  <c r="K215" i="2"/>
  <c r="F215" i="2"/>
  <c r="D215" i="2"/>
  <c r="C215" i="2"/>
  <c r="B215" i="2"/>
  <c r="A215" i="2"/>
  <c r="L214" i="2"/>
  <c r="K214" i="2"/>
  <c r="F214" i="2"/>
  <c r="D214" i="2"/>
  <c r="C214" i="2"/>
  <c r="B214" i="2"/>
  <c r="A214" i="2"/>
  <c r="L213" i="2"/>
  <c r="K213" i="2"/>
  <c r="F213" i="2"/>
  <c r="D213" i="2"/>
  <c r="C213" i="2"/>
  <c r="B213" i="2"/>
  <c r="A213" i="2"/>
  <c r="L212" i="2"/>
  <c r="K212" i="2"/>
  <c r="F212" i="2"/>
  <c r="D212" i="2"/>
  <c r="C212" i="2"/>
  <c r="B212" i="2"/>
  <c r="A212" i="2"/>
  <c r="L211" i="2"/>
  <c r="K211" i="2"/>
  <c r="F211" i="2"/>
  <c r="D211" i="2"/>
  <c r="C211" i="2"/>
  <c r="B211" i="2"/>
  <c r="A211" i="2"/>
  <c r="L210" i="2"/>
  <c r="K210" i="2"/>
  <c r="F210" i="2"/>
  <c r="D210" i="2"/>
  <c r="C210" i="2"/>
  <c r="B210" i="2"/>
  <c r="A210" i="2"/>
  <c r="L209" i="2"/>
  <c r="K209" i="2"/>
  <c r="F209" i="2"/>
  <c r="D209" i="2"/>
  <c r="C209" i="2"/>
  <c r="B209" i="2"/>
  <c r="A209" i="2"/>
  <c r="L208" i="2"/>
  <c r="K208" i="2"/>
  <c r="F208" i="2"/>
  <c r="D208" i="2"/>
  <c r="C208" i="2"/>
  <c r="B208" i="2"/>
  <c r="A208" i="2"/>
  <c r="L207" i="2"/>
  <c r="K207" i="2"/>
  <c r="F207" i="2"/>
  <c r="D207" i="2"/>
  <c r="C207" i="2"/>
  <c r="B207" i="2"/>
  <c r="A207" i="2"/>
  <c r="L206" i="2"/>
  <c r="K206" i="2"/>
  <c r="F206" i="2"/>
  <c r="D206" i="2"/>
  <c r="C206" i="2"/>
  <c r="B206" i="2"/>
  <c r="A206" i="2"/>
  <c r="L205" i="2"/>
  <c r="K205" i="2"/>
  <c r="F205" i="2"/>
  <c r="D205" i="2"/>
  <c r="C205" i="2"/>
  <c r="B205" i="2"/>
  <c r="A205" i="2"/>
  <c r="L204" i="2"/>
  <c r="K204" i="2"/>
  <c r="F204" i="2"/>
  <c r="D204" i="2"/>
  <c r="C204" i="2"/>
  <c r="B204" i="2"/>
  <c r="A204" i="2"/>
  <c r="L203" i="2"/>
  <c r="K203" i="2"/>
  <c r="F203" i="2"/>
  <c r="D203" i="2"/>
  <c r="C203" i="2"/>
  <c r="B203" i="2"/>
  <c r="A203" i="2"/>
  <c r="L202" i="2"/>
  <c r="K202" i="2"/>
  <c r="F202" i="2"/>
  <c r="D202" i="2"/>
  <c r="C202" i="2"/>
  <c r="B202" i="2"/>
  <c r="A202" i="2"/>
  <c r="L201" i="2"/>
  <c r="K201" i="2"/>
  <c r="F201" i="2"/>
  <c r="D201" i="2"/>
  <c r="C201" i="2"/>
  <c r="B201" i="2"/>
  <c r="A201" i="2"/>
  <c r="L200" i="2"/>
  <c r="K200" i="2"/>
  <c r="F200" i="2"/>
  <c r="D200" i="2"/>
  <c r="C200" i="2"/>
  <c r="B200" i="2"/>
  <c r="A200" i="2"/>
  <c r="L199" i="2"/>
  <c r="K199" i="2"/>
  <c r="F199" i="2"/>
  <c r="D199" i="2"/>
  <c r="C199" i="2"/>
  <c r="B199" i="2"/>
  <c r="A199" i="2"/>
  <c r="L198" i="2"/>
  <c r="K198" i="2"/>
  <c r="F198" i="2"/>
  <c r="D198" i="2"/>
  <c r="C198" i="2"/>
  <c r="B198" i="2"/>
  <c r="A198" i="2"/>
  <c r="L197" i="2"/>
  <c r="K197" i="2"/>
  <c r="F197" i="2"/>
  <c r="D197" i="2"/>
  <c r="C197" i="2"/>
  <c r="B197" i="2"/>
  <c r="A197" i="2"/>
  <c r="L196" i="2"/>
  <c r="K196" i="2"/>
  <c r="F196" i="2"/>
  <c r="D196" i="2"/>
  <c r="C196" i="2"/>
  <c r="B196" i="2"/>
  <c r="A196" i="2"/>
  <c r="L195" i="2"/>
  <c r="K195" i="2"/>
  <c r="F195" i="2"/>
  <c r="D195" i="2"/>
  <c r="C195" i="2"/>
  <c r="B195" i="2"/>
  <c r="A195" i="2"/>
  <c r="L194" i="2"/>
  <c r="K194" i="2"/>
  <c r="F194" i="2"/>
  <c r="D194" i="2"/>
  <c r="C194" i="2"/>
  <c r="B194" i="2"/>
  <c r="A194" i="2"/>
  <c r="L193" i="2"/>
  <c r="K193" i="2"/>
  <c r="F193" i="2"/>
  <c r="D193" i="2"/>
  <c r="C193" i="2"/>
  <c r="B193" i="2"/>
  <c r="A193" i="2"/>
  <c r="L192" i="2"/>
  <c r="K192" i="2"/>
  <c r="F192" i="2"/>
  <c r="D192" i="2"/>
  <c r="C192" i="2"/>
  <c r="B192" i="2"/>
  <c r="A192" i="2"/>
  <c r="L191" i="2"/>
  <c r="K191" i="2"/>
  <c r="F191" i="2"/>
  <c r="D191" i="2"/>
  <c r="C191" i="2"/>
  <c r="B191" i="2"/>
  <c r="A191" i="2"/>
  <c r="L190" i="2"/>
  <c r="K190" i="2"/>
  <c r="F190" i="2"/>
  <c r="D190" i="2"/>
  <c r="C190" i="2"/>
  <c r="B190" i="2"/>
  <c r="A190" i="2"/>
  <c r="L189" i="2"/>
  <c r="K189" i="2"/>
  <c r="F189" i="2"/>
  <c r="D189" i="2"/>
  <c r="C189" i="2"/>
  <c r="B189" i="2"/>
  <c r="A189" i="2"/>
  <c r="L188" i="2"/>
  <c r="K188" i="2"/>
  <c r="F188" i="2"/>
  <c r="D188" i="2"/>
  <c r="C188" i="2"/>
  <c r="B188" i="2"/>
  <c r="A188" i="2"/>
  <c r="L187" i="2"/>
  <c r="K187" i="2"/>
  <c r="F187" i="2"/>
  <c r="D187" i="2"/>
  <c r="C187" i="2"/>
  <c r="B187" i="2"/>
  <c r="A187" i="2"/>
  <c r="L186" i="2"/>
  <c r="K186" i="2"/>
  <c r="F186" i="2"/>
  <c r="D186" i="2"/>
  <c r="C186" i="2"/>
  <c r="B186" i="2"/>
  <c r="A186" i="2"/>
  <c r="L185" i="2"/>
  <c r="K185" i="2"/>
  <c r="F185" i="2"/>
  <c r="D185" i="2"/>
  <c r="C185" i="2"/>
  <c r="B185" i="2"/>
  <c r="A185" i="2"/>
  <c r="L184" i="2"/>
  <c r="K184" i="2"/>
  <c r="F184" i="2"/>
  <c r="D184" i="2"/>
  <c r="C184" i="2"/>
  <c r="B184" i="2"/>
  <c r="A184" i="2"/>
  <c r="L183" i="2"/>
  <c r="K183" i="2"/>
  <c r="F183" i="2"/>
  <c r="D183" i="2"/>
  <c r="C183" i="2"/>
  <c r="B183" i="2"/>
  <c r="A183" i="2"/>
  <c r="L182" i="2"/>
  <c r="K182" i="2"/>
  <c r="F182" i="2"/>
  <c r="D182" i="2"/>
  <c r="C182" i="2"/>
  <c r="B182" i="2"/>
  <c r="A182" i="2"/>
  <c r="L181" i="2"/>
  <c r="K181" i="2"/>
  <c r="F181" i="2"/>
  <c r="D181" i="2"/>
  <c r="C181" i="2"/>
  <c r="B181" i="2"/>
  <c r="A181" i="2"/>
  <c r="L180" i="2"/>
  <c r="K180" i="2"/>
  <c r="F180" i="2"/>
  <c r="D180" i="2"/>
  <c r="C180" i="2"/>
  <c r="B180" i="2"/>
  <c r="A180" i="2"/>
  <c r="L179" i="2"/>
  <c r="K179" i="2"/>
  <c r="F179" i="2"/>
  <c r="D179" i="2"/>
  <c r="C179" i="2"/>
  <c r="B179" i="2"/>
  <c r="A179" i="2"/>
  <c r="L178" i="2"/>
  <c r="K178" i="2"/>
  <c r="F178" i="2"/>
  <c r="D178" i="2"/>
  <c r="C178" i="2"/>
  <c r="B178" i="2"/>
  <c r="A178" i="2"/>
  <c r="L177" i="2"/>
  <c r="K177" i="2"/>
  <c r="F177" i="2"/>
  <c r="D177" i="2"/>
  <c r="C177" i="2"/>
  <c r="B177" i="2"/>
  <c r="A177" i="2"/>
  <c r="L176" i="2"/>
  <c r="K176" i="2"/>
  <c r="F176" i="2"/>
  <c r="D176" i="2"/>
  <c r="C176" i="2"/>
  <c r="B176" i="2"/>
  <c r="A176" i="2"/>
  <c r="L175" i="2"/>
  <c r="K175" i="2"/>
  <c r="F175" i="2"/>
  <c r="D175" i="2"/>
  <c r="C175" i="2"/>
  <c r="B175" i="2"/>
  <c r="A175" i="2"/>
  <c r="L174" i="2"/>
  <c r="K174" i="2"/>
  <c r="F174" i="2"/>
  <c r="D174" i="2"/>
  <c r="C174" i="2"/>
  <c r="B174" i="2"/>
  <c r="A174" i="2"/>
  <c r="L173" i="2"/>
  <c r="K173" i="2"/>
  <c r="F173" i="2"/>
  <c r="D173" i="2"/>
  <c r="C173" i="2"/>
  <c r="B173" i="2"/>
  <c r="A173" i="2"/>
  <c r="L172" i="2"/>
  <c r="K172" i="2"/>
  <c r="F172" i="2"/>
  <c r="D172" i="2"/>
  <c r="C172" i="2"/>
  <c r="B172" i="2"/>
  <c r="A172" i="2"/>
  <c r="L171" i="2"/>
  <c r="K171" i="2"/>
  <c r="F171" i="2"/>
  <c r="D171" i="2"/>
  <c r="C171" i="2"/>
  <c r="B171" i="2"/>
  <c r="A171" i="2"/>
  <c r="L170" i="2"/>
  <c r="K170" i="2"/>
  <c r="F170" i="2"/>
  <c r="D170" i="2"/>
  <c r="C170" i="2"/>
  <c r="B170" i="2"/>
  <c r="A170" i="2"/>
  <c r="L169" i="2"/>
  <c r="K169" i="2"/>
  <c r="F169" i="2"/>
  <c r="D169" i="2"/>
  <c r="C169" i="2"/>
  <c r="B169" i="2"/>
  <c r="A169" i="2"/>
  <c r="L168" i="2"/>
  <c r="K168" i="2"/>
  <c r="F168" i="2"/>
  <c r="D168" i="2"/>
  <c r="C168" i="2"/>
  <c r="B168" i="2"/>
  <c r="A168" i="2"/>
  <c r="L167" i="2"/>
  <c r="K167" i="2"/>
  <c r="F167" i="2"/>
  <c r="D167" i="2"/>
  <c r="C167" i="2"/>
  <c r="B167" i="2"/>
  <c r="A167" i="2"/>
  <c r="L166" i="2"/>
  <c r="K166" i="2"/>
  <c r="F166" i="2"/>
  <c r="D166" i="2"/>
  <c r="C166" i="2"/>
  <c r="B166" i="2"/>
  <c r="A166" i="2"/>
  <c r="L165" i="2"/>
  <c r="K165" i="2"/>
  <c r="F165" i="2"/>
  <c r="D165" i="2"/>
  <c r="C165" i="2"/>
  <c r="B165" i="2"/>
  <c r="A165" i="2"/>
  <c r="L164" i="2"/>
  <c r="K164" i="2"/>
  <c r="F164" i="2"/>
  <c r="D164" i="2"/>
  <c r="C164" i="2"/>
  <c r="B164" i="2"/>
  <c r="A164" i="2"/>
  <c r="L163" i="2"/>
  <c r="K163" i="2"/>
  <c r="F163" i="2"/>
  <c r="D163" i="2"/>
  <c r="C163" i="2"/>
  <c r="B163" i="2"/>
  <c r="A163" i="2"/>
  <c r="L162" i="2"/>
  <c r="K162" i="2"/>
  <c r="F162" i="2"/>
  <c r="D162" i="2"/>
  <c r="C162" i="2"/>
  <c r="B162" i="2"/>
  <c r="A162" i="2"/>
  <c r="L161" i="2"/>
  <c r="K161" i="2"/>
  <c r="F161" i="2"/>
  <c r="D161" i="2"/>
  <c r="C161" i="2"/>
  <c r="B161" i="2"/>
  <c r="A161" i="2"/>
  <c r="L160" i="2"/>
  <c r="K160" i="2"/>
  <c r="F160" i="2"/>
  <c r="D160" i="2"/>
  <c r="C160" i="2"/>
  <c r="B160" i="2"/>
  <c r="A160" i="2"/>
  <c r="L159" i="2"/>
  <c r="K159" i="2"/>
  <c r="F159" i="2"/>
  <c r="D159" i="2"/>
  <c r="C159" i="2"/>
  <c r="B159" i="2"/>
  <c r="A159" i="2"/>
  <c r="L158" i="2"/>
  <c r="K158" i="2"/>
  <c r="F158" i="2"/>
  <c r="D158" i="2"/>
  <c r="C158" i="2"/>
  <c r="B158" i="2"/>
  <c r="A158" i="2"/>
  <c r="L157" i="2"/>
  <c r="K157" i="2"/>
  <c r="F157" i="2"/>
  <c r="D157" i="2"/>
  <c r="C157" i="2"/>
  <c r="B157" i="2"/>
  <c r="A157" i="2"/>
  <c r="L156" i="2"/>
  <c r="K156" i="2"/>
  <c r="F156" i="2"/>
  <c r="D156" i="2"/>
  <c r="C156" i="2"/>
  <c r="B156" i="2"/>
  <c r="A156" i="2"/>
  <c r="L155" i="2"/>
  <c r="K155" i="2"/>
  <c r="F155" i="2"/>
  <c r="D155" i="2"/>
  <c r="C155" i="2"/>
  <c r="B155" i="2"/>
  <c r="A155" i="2"/>
  <c r="L154" i="2"/>
  <c r="K154" i="2"/>
  <c r="F154" i="2"/>
  <c r="D154" i="2"/>
  <c r="C154" i="2"/>
  <c r="B154" i="2"/>
  <c r="A154" i="2"/>
  <c r="L153" i="2"/>
  <c r="K153" i="2"/>
  <c r="F153" i="2"/>
  <c r="D153" i="2"/>
  <c r="C153" i="2"/>
  <c r="B153" i="2"/>
  <c r="A153" i="2"/>
  <c r="L152" i="2"/>
  <c r="K152" i="2"/>
  <c r="F152" i="2"/>
  <c r="D152" i="2"/>
  <c r="C152" i="2"/>
  <c r="B152" i="2"/>
  <c r="A152" i="2"/>
  <c r="L151" i="2"/>
  <c r="K151" i="2"/>
  <c r="F151" i="2"/>
  <c r="D151" i="2"/>
  <c r="C151" i="2"/>
  <c r="B151" i="2"/>
  <c r="A151" i="2"/>
  <c r="L150" i="2"/>
  <c r="K150" i="2"/>
  <c r="F150" i="2"/>
  <c r="D150" i="2"/>
  <c r="C150" i="2"/>
  <c r="B150" i="2"/>
  <c r="A150" i="2"/>
  <c r="L149" i="2"/>
  <c r="K149" i="2"/>
  <c r="F149" i="2"/>
  <c r="D149" i="2"/>
  <c r="C149" i="2"/>
  <c r="B149" i="2"/>
  <c r="A149" i="2"/>
  <c r="L148" i="2"/>
  <c r="K148" i="2"/>
  <c r="F148" i="2"/>
  <c r="D148" i="2"/>
  <c r="C148" i="2"/>
  <c r="B148" i="2"/>
  <c r="A148" i="2"/>
  <c r="L147" i="2"/>
  <c r="K147" i="2"/>
  <c r="F147" i="2"/>
  <c r="D147" i="2"/>
  <c r="C147" i="2"/>
  <c r="B147" i="2"/>
  <c r="A147" i="2"/>
  <c r="L146" i="2"/>
  <c r="K146" i="2"/>
  <c r="F146" i="2"/>
  <c r="D146" i="2"/>
  <c r="C146" i="2"/>
  <c r="B146" i="2"/>
  <c r="A146" i="2"/>
  <c r="L145" i="2"/>
  <c r="K145" i="2"/>
  <c r="F145" i="2"/>
  <c r="D145" i="2"/>
  <c r="C145" i="2"/>
  <c r="B145" i="2"/>
  <c r="A145" i="2"/>
  <c r="L144" i="2"/>
  <c r="K144" i="2"/>
  <c r="F144" i="2"/>
  <c r="D144" i="2"/>
  <c r="C144" i="2"/>
  <c r="B144" i="2"/>
  <c r="A144" i="2"/>
  <c r="L143" i="2"/>
  <c r="K143" i="2"/>
  <c r="F143" i="2"/>
  <c r="D143" i="2"/>
  <c r="C143" i="2"/>
  <c r="B143" i="2"/>
  <c r="A143" i="2"/>
  <c r="L142" i="2"/>
  <c r="K142" i="2"/>
  <c r="F142" i="2"/>
  <c r="D142" i="2"/>
  <c r="C142" i="2"/>
  <c r="B142" i="2"/>
  <c r="A142" i="2"/>
  <c r="L141" i="2"/>
  <c r="K141" i="2"/>
  <c r="F141" i="2"/>
  <c r="D141" i="2"/>
  <c r="C141" i="2"/>
  <c r="B141" i="2"/>
  <c r="A141" i="2"/>
  <c r="L140" i="2"/>
  <c r="K140" i="2"/>
  <c r="F140" i="2"/>
  <c r="D140" i="2"/>
  <c r="C140" i="2"/>
  <c r="B140" i="2"/>
  <c r="A140" i="2"/>
  <c r="L139" i="2"/>
  <c r="K139" i="2"/>
  <c r="F139" i="2"/>
  <c r="D139" i="2"/>
  <c r="C139" i="2"/>
  <c r="B139" i="2"/>
  <c r="A139" i="2"/>
  <c r="L138" i="2"/>
  <c r="K138" i="2"/>
  <c r="F138" i="2"/>
  <c r="D138" i="2"/>
  <c r="C138" i="2"/>
  <c r="B138" i="2"/>
  <c r="A138" i="2"/>
  <c r="L137" i="2"/>
  <c r="K137" i="2"/>
  <c r="F137" i="2"/>
  <c r="D137" i="2"/>
  <c r="C137" i="2"/>
  <c r="B137" i="2"/>
  <c r="A137" i="2"/>
  <c r="L136" i="2"/>
  <c r="K136" i="2"/>
  <c r="F136" i="2"/>
  <c r="D136" i="2"/>
  <c r="C136" i="2"/>
  <c r="B136" i="2"/>
  <c r="A136" i="2"/>
  <c r="L135" i="2"/>
  <c r="K135" i="2"/>
  <c r="F135" i="2"/>
  <c r="D135" i="2"/>
  <c r="C135" i="2"/>
  <c r="B135" i="2"/>
  <c r="A135" i="2"/>
  <c r="L134" i="2"/>
  <c r="K134" i="2"/>
  <c r="F134" i="2"/>
  <c r="D134" i="2"/>
  <c r="C134" i="2"/>
  <c r="B134" i="2"/>
  <c r="A134" i="2"/>
  <c r="L133" i="2"/>
  <c r="K133" i="2"/>
  <c r="F133" i="2"/>
  <c r="D133" i="2"/>
  <c r="C133" i="2"/>
  <c r="B133" i="2"/>
  <c r="A133" i="2"/>
  <c r="L132" i="2"/>
  <c r="K132" i="2"/>
  <c r="F132" i="2"/>
  <c r="D132" i="2"/>
  <c r="C132" i="2"/>
  <c r="B132" i="2"/>
  <c r="A132" i="2"/>
  <c r="L131" i="2"/>
  <c r="K131" i="2"/>
  <c r="F131" i="2"/>
  <c r="D131" i="2"/>
  <c r="C131" i="2"/>
  <c r="B131" i="2"/>
  <c r="A131" i="2"/>
  <c r="L130" i="2"/>
  <c r="K130" i="2"/>
  <c r="F130" i="2"/>
  <c r="D130" i="2"/>
  <c r="C130" i="2"/>
  <c r="B130" i="2"/>
  <c r="A130" i="2"/>
  <c r="L129" i="2"/>
  <c r="K129" i="2"/>
  <c r="F129" i="2"/>
  <c r="D129" i="2"/>
  <c r="C129" i="2"/>
  <c r="B129" i="2"/>
  <c r="A129" i="2"/>
  <c r="L128" i="2"/>
  <c r="K128" i="2"/>
  <c r="F128" i="2"/>
  <c r="D128" i="2"/>
  <c r="C128" i="2"/>
  <c r="B128" i="2"/>
  <c r="A128" i="2"/>
  <c r="L127" i="2"/>
  <c r="K127" i="2"/>
  <c r="F127" i="2"/>
  <c r="D127" i="2"/>
  <c r="C127" i="2"/>
  <c r="B127" i="2"/>
  <c r="A127" i="2"/>
  <c r="L126" i="2"/>
  <c r="K126" i="2"/>
  <c r="F126" i="2"/>
  <c r="D126" i="2"/>
  <c r="C126" i="2"/>
  <c r="B126" i="2"/>
  <c r="A126" i="2"/>
  <c r="L125" i="2"/>
  <c r="K125" i="2"/>
  <c r="F125" i="2"/>
  <c r="D125" i="2"/>
  <c r="C125" i="2"/>
  <c r="B125" i="2"/>
  <c r="A125" i="2"/>
  <c r="L124" i="2"/>
  <c r="K124" i="2"/>
  <c r="F124" i="2"/>
  <c r="D124" i="2"/>
  <c r="C124" i="2"/>
  <c r="B124" i="2"/>
  <c r="A124" i="2"/>
  <c r="L123" i="2"/>
  <c r="K123" i="2"/>
  <c r="F123" i="2"/>
  <c r="D123" i="2"/>
  <c r="C123" i="2"/>
  <c r="B123" i="2"/>
  <c r="A123" i="2"/>
  <c r="L122" i="2"/>
  <c r="K122" i="2"/>
  <c r="F122" i="2"/>
  <c r="D122" i="2"/>
  <c r="C122" i="2"/>
  <c r="B122" i="2"/>
  <c r="A122" i="2"/>
  <c r="L121" i="2"/>
  <c r="K121" i="2"/>
  <c r="F121" i="2"/>
  <c r="D121" i="2"/>
  <c r="C121" i="2"/>
  <c r="B121" i="2"/>
  <c r="A121" i="2"/>
  <c r="L120" i="2"/>
  <c r="K120" i="2"/>
  <c r="F120" i="2"/>
  <c r="D120" i="2"/>
  <c r="C120" i="2"/>
  <c r="B120" i="2"/>
  <c r="A120" i="2"/>
  <c r="L119" i="2"/>
  <c r="K119" i="2"/>
  <c r="F119" i="2"/>
  <c r="D119" i="2"/>
  <c r="C119" i="2"/>
  <c r="B119" i="2"/>
  <c r="A119" i="2"/>
  <c r="L118" i="2"/>
  <c r="K118" i="2"/>
  <c r="F118" i="2"/>
  <c r="D118" i="2"/>
  <c r="C118" i="2"/>
  <c r="B118" i="2"/>
  <c r="A118" i="2"/>
  <c r="L117" i="2"/>
  <c r="K117" i="2"/>
  <c r="F117" i="2"/>
  <c r="D117" i="2"/>
  <c r="C117" i="2"/>
  <c r="B117" i="2"/>
  <c r="A117" i="2"/>
  <c r="L116" i="2"/>
  <c r="K116" i="2"/>
  <c r="F116" i="2"/>
  <c r="D116" i="2"/>
  <c r="C116" i="2"/>
  <c r="B116" i="2"/>
  <c r="A116" i="2"/>
  <c r="L115" i="2"/>
  <c r="K115" i="2"/>
  <c r="F115" i="2"/>
  <c r="D115" i="2"/>
  <c r="C115" i="2"/>
  <c r="B115" i="2"/>
  <c r="A115" i="2"/>
  <c r="L114" i="2"/>
  <c r="K114" i="2"/>
  <c r="F114" i="2"/>
  <c r="D114" i="2"/>
  <c r="C114" i="2"/>
  <c r="B114" i="2"/>
  <c r="A114" i="2"/>
  <c r="L113" i="2"/>
  <c r="K113" i="2"/>
  <c r="F113" i="2"/>
  <c r="D113" i="2"/>
  <c r="C113" i="2"/>
  <c r="B113" i="2"/>
  <c r="A113" i="2"/>
  <c r="L112" i="2"/>
  <c r="K112" i="2"/>
  <c r="F112" i="2"/>
  <c r="D112" i="2"/>
  <c r="C112" i="2"/>
  <c r="B112" i="2"/>
  <c r="A112" i="2"/>
  <c r="L111" i="2"/>
  <c r="K111" i="2"/>
  <c r="F111" i="2"/>
  <c r="D111" i="2"/>
  <c r="C111" i="2"/>
  <c r="B111" i="2"/>
  <c r="A111" i="2"/>
  <c r="L110" i="2"/>
  <c r="K110" i="2"/>
  <c r="F110" i="2"/>
  <c r="D110" i="2"/>
  <c r="C110" i="2"/>
  <c r="B110" i="2"/>
  <c r="A110" i="2"/>
  <c r="L109" i="2"/>
  <c r="K109" i="2"/>
  <c r="F109" i="2"/>
  <c r="D109" i="2"/>
  <c r="C109" i="2"/>
  <c r="B109" i="2"/>
  <c r="A109" i="2"/>
  <c r="L108" i="2"/>
  <c r="K108" i="2"/>
  <c r="F108" i="2"/>
  <c r="D108" i="2"/>
  <c r="C108" i="2"/>
  <c r="B108" i="2"/>
  <c r="A108" i="2"/>
  <c r="L107" i="2"/>
  <c r="K107" i="2"/>
  <c r="F107" i="2"/>
  <c r="D107" i="2"/>
  <c r="C107" i="2"/>
  <c r="B107" i="2"/>
  <c r="A107" i="2"/>
  <c r="L106" i="2"/>
  <c r="K106" i="2"/>
  <c r="F106" i="2"/>
  <c r="D106" i="2"/>
  <c r="C106" i="2"/>
  <c r="B106" i="2"/>
  <c r="A106" i="2"/>
  <c r="L105" i="2"/>
  <c r="K105" i="2"/>
  <c r="F105" i="2"/>
  <c r="D105" i="2"/>
  <c r="C105" i="2"/>
  <c r="B105" i="2"/>
  <c r="A105" i="2"/>
  <c r="L104" i="2"/>
  <c r="K104" i="2"/>
  <c r="F104" i="2"/>
  <c r="D104" i="2"/>
  <c r="C104" i="2"/>
  <c r="B104" i="2"/>
  <c r="A104" i="2"/>
  <c r="L103" i="2"/>
  <c r="K103" i="2"/>
  <c r="F103" i="2"/>
  <c r="D103" i="2"/>
  <c r="C103" i="2"/>
  <c r="B103" i="2"/>
  <c r="A103" i="2"/>
  <c r="L102" i="2"/>
  <c r="K102" i="2"/>
  <c r="F102" i="2"/>
  <c r="D102" i="2"/>
  <c r="C102" i="2"/>
  <c r="B102" i="2"/>
  <c r="A102" i="2"/>
  <c r="L101" i="2"/>
  <c r="K101" i="2"/>
  <c r="F101" i="2"/>
  <c r="D101" i="2"/>
  <c r="C101" i="2"/>
  <c r="B101" i="2"/>
  <c r="A101" i="2"/>
  <c r="L100" i="2"/>
  <c r="K100" i="2"/>
  <c r="F100" i="2"/>
  <c r="D100" i="2"/>
  <c r="C100" i="2"/>
  <c r="B100" i="2"/>
  <c r="A100" i="2"/>
  <c r="L99" i="2"/>
  <c r="K99" i="2"/>
  <c r="F99" i="2"/>
  <c r="D99" i="2"/>
  <c r="C99" i="2"/>
  <c r="B99" i="2"/>
  <c r="A99" i="2"/>
  <c r="L98" i="2"/>
  <c r="K98" i="2"/>
  <c r="F98" i="2"/>
  <c r="D98" i="2"/>
  <c r="C98" i="2"/>
  <c r="B98" i="2"/>
  <c r="A98" i="2"/>
  <c r="L97" i="2"/>
  <c r="K97" i="2"/>
  <c r="F97" i="2"/>
  <c r="D97" i="2"/>
  <c r="C97" i="2"/>
  <c r="B97" i="2"/>
  <c r="A97" i="2"/>
  <c r="L96" i="2"/>
  <c r="K96" i="2"/>
  <c r="F96" i="2"/>
  <c r="D96" i="2"/>
  <c r="C96" i="2"/>
  <c r="B96" i="2"/>
  <c r="A96" i="2"/>
  <c r="L95" i="2"/>
  <c r="K95" i="2"/>
  <c r="F95" i="2"/>
  <c r="D95" i="2"/>
  <c r="C95" i="2"/>
  <c r="B95" i="2"/>
  <c r="A95" i="2"/>
  <c r="L94" i="2"/>
  <c r="K94" i="2"/>
  <c r="F94" i="2"/>
  <c r="D94" i="2"/>
  <c r="C94" i="2"/>
  <c r="B94" i="2"/>
  <c r="A94" i="2"/>
  <c r="L93" i="2"/>
  <c r="K93" i="2"/>
  <c r="F93" i="2"/>
  <c r="D93" i="2"/>
  <c r="C93" i="2"/>
  <c r="B93" i="2"/>
  <c r="A93" i="2"/>
  <c r="L92" i="2"/>
  <c r="K92" i="2"/>
  <c r="F92" i="2"/>
  <c r="D92" i="2"/>
  <c r="C92" i="2"/>
  <c r="B92" i="2"/>
  <c r="A92" i="2"/>
  <c r="L91" i="2"/>
  <c r="K91" i="2"/>
  <c r="F91" i="2"/>
  <c r="D91" i="2"/>
  <c r="C91" i="2"/>
  <c r="B91" i="2"/>
  <c r="A91" i="2"/>
  <c r="L90" i="2"/>
  <c r="K90" i="2"/>
  <c r="F90" i="2"/>
  <c r="D90" i="2"/>
  <c r="C90" i="2"/>
  <c r="B90" i="2"/>
  <c r="A90" i="2"/>
  <c r="L89" i="2"/>
  <c r="K89" i="2"/>
  <c r="F89" i="2"/>
  <c r="D89" i="2"/>
  <c r="C89" i="2"/>
  <c r="B89" i="2"/>
  <c r="A89" i="2"/>
  <c r="L88" i="2"/>
  <c r="K88" i="2"/>
  <c r="F88" i="2"/>
  <c r="D88" i="2"/>
  <c r="C88" i="2"/>
  <c r="B88" i="2"/>
  <c r="A88" i="2"/>
  <c r="L87" i="2"/>
  <c r="K87" i="2"/>
  <c r="F87" i="2"/>
  <c r="D87" i="2"/>
  <c r="C87" i="2"/>
  <c r="B87" i="2"/>
  <c r="A87" i="2"/>
  <c r="L86" i="2"/>
  <c r="K86" i="2"/>
  <c r="F86" i="2"/>
  <c r="D86" i="2"/>
  <c r="C86" i="2"/>
  <c r="B86" i="2"/>
  <c r="A86" i="2"/>
  <c r="L85" i="2"/>
  <c r="K85" i="2"/>
  <c r="F85" i="2"/>
  <c r="D85" i="2"/>
  <c r="C85" i="2"/>
  <c r="B85" i="2"/>
  <c r="A85" i="2"/>
  <c r="L84" i="2"/>
  <c r="K84" i="2"/>
  <c r="F84" i="2"/>
  <c r="D84" i="2"/>
  <c r="C84" i="2"/>
  <c r="B84" i="2"/>
  <c r="A84" i="2"/>
  <c r="L83" i="2"/>
  <c r="K83" i="2"/>
  <c r="F83" i="2"/>
  <c r="D83" i="2"/>
  <c r="C83" i="2"/>
  <c r="B83" i="2"/>
  <c r="A83" i="2"/>
  <c r="L82" i="2"/>
  <c r="K82" i="2"/>
  <c r="F82" i="2"/>
  <c r="D82" i="2"/>
  <c r="C82" i="2"/>
  <c r="B82" i="2"/>
  <c r="A82" i="2"/>
  <c r="L81" i="2"/>
  <c r="K81" i="2"/>
  <c r="F81" i="2"/>
  <c r="D81" i="2"/>
  <c r="C81" i="2"/>
  <c r="B81" i="2"/>
  <c r="A81" i="2"/>
  <c r="L80" i="2"/>
  <c r="K80" i="2"/>
  <c r="F80" i="2"/>
  <c r="D80" i="2"/>
  <c r="C80" i="2"/>
  <c r="B80" i="2"/>
  <c r="A80" i="2"/>
  <c r="L79" i="2"/>
  <c r="K79" i="2"/>
  <c r="F79" i="2"/>
  <c r="D79" i="2"/>
  <c r="C79" i="2"/>
  <c r="B79" i="2"/>
  <c r="A79" i="2"/>
  <c r="L78" i="2"/>
  <c r="K78" i="2"/>
  <c r="F78" i="2"/>
  <c r="D78" i="2"/>
  <c r="C78" i="2"/>
  <c r="B78" i="2"/>
  <c r="A78" i="2"/>
  <c r="L77" i="2"/>
  <c r="K77" i="2"/>
  <c r="F77" i="2"/>
  <c r="D77" i="2"/>
  <c r="C77" i="2"/>
  <c r="B77" i="2"/>
  <c r="A77" i="2"/>
  <c r="L76" i="2"/>
  <c r="K76" i="2"/>
  <c r="F76" i="2"/>
  <c r="D76" i="2"/>
  <c r="C76" i="2"/>
  <c r="B76" i="2"/>
  <c r="A76" i="2"/>
  <c r="L75" i="2"/>
  <c r="K75" i="2"/>
  <c r="F75" i="2"/>
  <c r="D75" i="2"/>
  <c r="C75" i="2"/>
  <c r="B75" i="2"/>
  <c r="A75" i="2"/>
  <c r="L74" i="2"/>
  <c r="K74" i="2"/>
  <c r="F74" i="2"/>
  <c r="D74" i="2"/>
  <c r="C74" i="2"/>
  <c r="B74" i="2"/>
  <c r="A74" i="2"/>
  <c r="V73" i="2"/>
  <c r="L73" i="2"/>
  <c r="K73" i="2"/>
  <c r="F73" i="2"/>
  <c r="D73" i="2"/>
  <c r="C73" i="2"/>
  <c r="B73" i="2"/>
  <c r="A73" i="2"/>
  <c r="V72" i="2"/>
  <c r="L72" i="2"/>
  <c r="K72" i="2"/>
  <c r="F72" i="2"/>
  <c r="D72" i="2"/>
  <c r="C72" i="2"/>
  <c r="B72" i="2"/>
  <c r="A72" i="2"/>
  <c r="V71" i="2"/>
  <c r="L71" i="2"/>
  <c r="K71" i="2"/>
  <c r="F71" i="2"/>
  <c r="D71" i="2"/>
  <c r="C71" i="2"/>
  <c r="B71" i="2"/>
  <c r="A71" i="2"/>
  <c r="V70" i="2"/>
  <c r="L70" i="2"/>
  <c r="K70" i="2"/>
  <c r="F70" i="2"/>
  <c r="D70" i="2"/>
  <c r="C70" i="2"/>
  <c r="B70" i="2"/>
  <c r="A70" i="2"/>
  <c r="V69" i="2"/>
  <c r="L69" i="2"/>
  <c r="K69" i="2"/>
  <c r="F69" i="2"/>
  <c r="D69" i="2"/>
  <c r="C69" i="2"/>
  <c r="B69" i="2"/>
  <c r="A69" i="2"/>
  <c r="V68" i="2"/>
  <c r="L68" i="2"/>
  <c r="K68" i="2"/>
  <c r="F68" i="2"/>
  <c r="D68" i="2"/>
  <c r="C68" i="2"/>
  <c r="B68" i="2"/>
  <c r="A68" i="2"/>
  <c r="V67" i="2"/>
  <c r="L67" i="2"/>
  <c r="K67" i="2"/>
  <c r="F67" i="2"/>
  <c r="D67" i="2"/>
  <c r="C67" i="2"/>
  <c r="B67" i="2"/>
  <c r="A67" i="2"/>
  <c r="V66" i="2"/>
  <c r="L66" i="2"/>
  <c r="K66" i="2"/>
  <c r="F66" i="2"/>
  <c r="D66" i="2"/>
  <c r="C66" i="2"/>
  <c r="B66" i="2"/>
  <c r="A66" i="2"/>
  <c r="V65" i="2"/>
  <c r="L65" i="2"/>
  <c r="K65" i="2"/>
  <c r="F65" i="2"/>
  <c r="D65" i="2"/>
  <c r="C65" i="2"/>
  <c r="B65" i="2"/>
  <c r="A65" i="2"/>
  <c r="V64" i="2"/>
  <c r="L64" i="2"/>
  <c r="K64" i="2"/>
  <c r="F64" i="2"/>
  <c r="D64" i="2"/>
  <c r="C64" i="2"/>
  <c r="B64" i="2"/>
  <c r="A64" i="2"/>
  <c r="V63" i="2"/>
  <c r="L63" i="2"/>
  <c r="K63" i="2"/>
  <c r="F63" i="2"/>
  <c r="D63" i="2"/>
  <c r="C63" i="2"/>
  <c r="B63" i="2"/>
  <c r="A63" i="2"/>
  <c r="V62" i="2"/>
  <c r="L62" i="2"/>
  <c r="K62" i="2"/>
  <c r="F62" i="2"/>
  <c r="D62" i="2"/>
  <c r="C62" i="2"/>
  <c r="B62" i="2"/>
  <c r="A62" i="2"/>
  <c r="V61" i="2"/>
  <c r="L61" i="2"/>
  <c r="K61" i="2"/>
  <c r="F61" i="2"/>
  <c r="D61" i="2"/>
  <c r="C61" i="2"/>
  <c r="B61" i="2"/>
  <c r="A61" i="2"/>
  <c r="V60" i="2"/>
  <c r="L60" i="2"/>
  <c r="K60" i="2"/>
  <c r="F60" i="2"/>
  <c r="D60" i="2"/>
  <c r="C60" i="2"/>
  <c r="B60" i="2"/>
  <c r="A60" i="2"/>
  <c r="V59" i="2"/>
  <c r="L59" i="2"/>
  <c r="K59" i="2"/>
  <c r="F59" i="2"/>
  <c r="D59" i="2"/>
  <c r="C59" i="2"/>
  <c r="B59" i="2"/>
  <c r="A59" i="2"/>
  <c r="V58" i="2"/>
  <c r="L58" i="2"/>
  <c r="K58" i="2"/>
  <c r="F58" i="2"/>
  <c r="D58" i="2"/>
  <c r="C58" i="2"/>
  <c r="B58" i="2"/>
  <c r="A58" i="2"/>
  <c r="V57" i="2"/>
  <c r="L57" i="2"/>
  <c r="K57" i="2"/>
  <c r="F57" i="2"/>
  <c r="D57" i="2"/>
  <c r="C57" i="2"/>
  <c r="B57" i="2"/>
  <c r="A57" i="2"/>
  <c r="V56" i="2"/>
  <c r="L56" i="2"/>
  <c r="K56" i="2"/>
  <c r="F56" i="2"/>
  <c r="D56" i="2"/>
  <c r="C56" i="2"/>
  <c r="B56" i="2"/>
  <c r="A56" i="2"/>
  <c r="V55" i="2"/>
  <c r="L55" i="2"/>
  <c r="K55" i="2"/>
  <c r="F55" i="2"/>
  <c r="D55" i="2"/>
  <c r="C55" i="2"/>
  <c r="B55" i="2"/>
  <c r="A55" i="2"/>
  <c r="V54" i="2"/>
  <c r="L54" i="2"/>
  <c r="K54" i="2"/>
  <c r="F54" i="2"/>
  <c r="D54" i="2"/>
  <c r="C54" i="2"/>
  <c r="B54" i="2"/>
  <c r="A54" i="2"/>
  <c r="V53" i="2"/>
  <c r="L53" i="2"/>
  <c r="K53" i="2"/>
  <c r="F53" i="2"/>
  <c r="D53" i="2"/>
  <c r="C53" i="2"/>
  <c r="B53" i="2"/>
  <c r="A53" i="2"/>
  <c r="V52" i="2"/>
  <c r="L52" i="2"/>
  <c r="K52" i="2"/>
  <c r="F52" i="2"/>
  <c r="D52" i="2"/>
  <c r="C52" i="2"/>
  <c r="B52" i="2"/>
  <c r="A52" i="2"/>
  <c r="V51" i="2"/>
  <c r="L51" i="2"/>
  <c r="K51" i="2"/>
  <c r="F51" i="2"/>
  <c r="D51" i="2"/>
  <c r="C51" i="2"/>
  <c r="B51" i="2"/>
  <c r="A51" i="2"/>
  <c r="V50" i="2"/>
  <c r="L50" i="2"/>
  <c r="K50" i="2"/>
  <c r="F50" i="2"/>
  <c r="D50" i="2"/>
  <c r="C50" i="2"/>
  <c r="B50" i="2"/>
  <c r="A50" i="2"/>
  <c r="V49" i="2"/>
  <c r="L49" i="2"/>
  <c r="K49" i="2"/>
  <c r="F49" i="2"/>
  <c r="D49" i="2"/>
  <c r="C49" i="2"/>
  <c r="B49" i="2"/>
  <c r="A49" i="2"/>
  <c r="V48" i="2"/>
  <c r="L48" i="2"/>
  <c r="K48" i="2"/>
  <c r="F48" i="2"/>
  <c r="D48" i="2"/>
  <c r="C48" i="2"/>
  <c r="B48" i="2"/>
  <c r="A48" i="2"/>
  <c r="V47" i="2"/>
  <c r="L47" i="2"/>
  <c r="K47" i="2"/>
  <c r="F47" i="2"/>
  <c r="D47" i="2"/>
  <c r="C47" i="2"/>
  <c r="B47" i="2"/>
  <c r="A47" i="2"/>
  <c r="V46" i="2"/>
  <c r="L46" i="2"/>
  <c r="K46" i="2"/>
  <c r="F46" i="2"/>
  <c r="D46" i="2"/>
  <c r="C46" i="2"/>
  <c r="B46" i="2"/>
  <c r="A46" i="2"/>
  <c r="V45" i="2"/>
  <c r="L45" i="2"/>
  <c r="K45" i="2"/>
  <c r="F45" i="2"/>
  <c r="D45" i="2"/>
  <c r="C45" i="2"/>
  <c r="B45" i="2"/>
  <c r="A45" i="2"/>
  <c r="V44" i="2"/>
  <c r="L44" i="2"/>
  <c r="K44" i="2"/>
  <c r="F44" i="2"/>
  <c r="D44" i="2"/>
  <c r="C44" i="2"/>
  <c r="B44" i="2"/>
  <c r="A44" i="2"/>
  <c r="V43" i="2"/>
  <c r="L43" i="2"/>
  <c r="K43" i="2"/>
  <c r="F43" i="2"/>
  <c r="D43" i="2"/>
  <c r="C43" i="2"/>
  <c r="B43" i="2"/>
  <c r="A43" i="2"/>
  <c r="V42" i="2"/>
  <c r="L42" i="2"/>
  <c r="K42" i="2"/>
  <c r="F42" i="2"/>
  <c r="D42" i="2"/>
  <c r="C42" i="2"/>
  <c r="B42" i="2"/>
  <c r="A42" i="2"/>
  <c r="V41" i="2"/>
  <c r="L41" i="2"/>
  <c r="K41" i="2"/>
  <c r="F41" i="2"/>
  <c r="D41" i="2"/>
  <c r="C41" i="2"/>
  <c r="B41" i="2"/>
  <c r="A41" i="2"/>
  <c r="V40" i="2"/>
  <c r="L40" i="2"/>
  <c r="K40" i="2"/>
  <c r="F40" i="2"/>
  <c r="D40" i="2"/>
  <c r="C40" i="2"/>
  <c r="B40" i="2"/>
  <c r="A40" i="2"/>
  <c r="V39" i="2"/>
  <c r="L39" i="2"/>
  <c r="K39" i="2"/>
  <c r="F39" i="2"/>
  <c r="D39" i="2"/>
  <c r="C39" i="2"/>
  <c r="B39" i="2"/>
  <c r="A39" i="2"/>
  <c r="V38" i="2"/>
  <c r="L38" i="2"/>
  <c r="K38" i="2"/>
  <c r="F38" i="2"/>
  <c r="D38" i="2"/>
  <c r="C38" i="2"/>
  <c r="B38" i="2"/>
  <c r="A38" i="2"/>
  <c r="V37" i="2"/>
  <c r="L37" i="2"/>
  <c r="K37" i="2"/>
  <c r="F37" i="2"/>
  <c r="D37" i="2"/>
  <c r="C37" i="2"/>
  <c r="B37" i="2"/>
  <c r="A37" i="2"/>
  <c r="V36" i="2"/>
  <c r="L36" i="2"/>
  <c r="K36" i="2"/>
  <c r="F36" i="2"/>
  <c r="D36" i="2"/>
  <c r="C36" i="2"/>
  <c r="B36" i="2"/>
  <c r="A36" i="2"/>
  <c r="V35" i="2"/>
  <c r="L35" i="2"/>
  <c r="K35" i="2"/>
  <c r="F35" i="2"/>
  <c r="D35" i="2"/>
  <c r="C35" i="2"/>
  <c r="B35" i="2"/>
  <c r="A35" i="2"/>
  <c r="V34" i="2"/>
  <c r="L34" i="2"/>
  <c r="K34" i="2"/>
  <c r="F34" i="2"/>
  <c r="D34" i="2"/>
  <c r="C34" i="2"/>
  <c r="B34" i="2"/>
  <c r="A34" i="2"/>
  <c r="V33" i="2"/>
  <c r="L33" i="2"/>
  <c r="K33" i="2"/>
  <c r="F33" i="2"/>
  <c r="D33" i="2"/>
  <c r="C33" i="2"/>
  <c r="B33" i="2"/>
  <c r="A33" i="2"/>
  <c r="V32" i="2"/>
  <c r="L32" i="2"/>
  <c r="K32" i="2"/>
  <c r="F32" i="2"/>
  <c r="D32" i="2"/>
  <c r="C32" i="2"/>
  <c r="B32" i="2"/>
  <c r="A32" i="2"/>
  <c r="V31" i="2"/>
  <c r="L31" i="2"/>
  <c r="K31" i="2"/>
  <c r="F31" i="2"/>
  <c r="D31" i="2"/>
  <c r="C31" i="2"/>
  <c r="B31" i="2"/>
  <c r="A31" i="2"/>
  <c r="V30" i="2"/>
  <c r="L30" i="2"/>
  <c r="K30" i="2"/>
  <c r="F30" i="2"/>
  <c r="D30" i="2"/>
  <c r="C30" i="2"/>
  <c r="B30" i="2"/>
  <c r="A30" i="2"/>
  <c r="V29" i="2"/>
  <c r="L29" i="2"/>
  <c r="K29" i="2"/>
  <c r="F29" i="2"/>
  <c r="D29" i="2"/>
  <c r="C29" i="2"/>
  <c r="B29" i="2"/>
  <c r="A29" i="2"/>
  <c r="V28" i="2"/>
  <c r="L28" i="2"/>
  <c r="K28" i="2"/>
  <c r="F28" i="2"/>
  <c r="D28" i="2"/>
  <c r="C28" i="2"/>
  <c r="B28" i="2"/>
  <c r="A28" i="2"/>
  <c r="V27" i="2"/>
  <c r="L27" i="2"/>
  <c r="K27" i="2"/>
  <c r="F27" i="2"/>
  <c r="D27" i="2"/>
  <c r="C27" i="2"/>
  <c r="B27" i="2"/>
  <c r="A27" i="2"/>
  <c r="V26" i="2"/>
  <c r="L26" i="2"/>
  <c r="K26" i="2"/>
  <c r="F26" i="2"/>
  <c r="D26" i="2"/>
  <c r="C26" i="2"/>
  <c r="B26" i="2"/>
  <c r="A26" i="2"/>
  <c r="V25" i="2"/>
  <c r="L25" i="2"/>
  <c r="K25" i="2"/>
  <c r="F25" i="2"/>
  <c r="D25" i="2"/>
  <c r="C25" i="2"/>
  <c r="B25" i="2"/>
  <c r="A25" i="2"/>
  <c r="V24" i="2"/>
  <c r="L24" i="2"/>
  <c r="K24" i="2"/>
  <c r="F24" i="2"/>
  <c r="D24" i="2"/>
  <c r="C24" i="2"/>
  <c r="B24" i="2"/>
  <c r="A24" i="2"/>
  <c r="V23" i="2"/>
  <c r="L23" i="2"/>
  <c r="K23" i="2"/>
  <c r="F23" i="2"/>
  <c r="D23" i="2"/>
  <c r="C23" i="2"/>
  <c r="B23" i="2"/>
  <c r="A23" i="2"/>
  <c r="V22" i="2"/>
  <c r="L22" i="2"/>
  <c r="K22" i="2"/>
  <c r="F22" i="2"/>
  <c r="D22" i="2"/>
  <c r="C22" i="2"/>
  <c r="B22" i="2"/>
  <c r="A22" i="2"/>
  <c r="V21" i="2"/>
  <c r="L21" i="2"/>
  <c r="K21" i="2"/>
  <c r="F21" i="2"/>
  <c r="D21" i="2"/>
  <c r="C21" i="2"/>
  <c r="B21" i="2"/>
  <c r="A21" i="2"/>
  <c r="V20" i="2"/>
  <c r="L20" i="2"/>
  <c r="K20" i="2"/>
  <c r="F20" i="2"/>
  <c r="D20" i="2"/>
  <c r="C20" i="2"/>
  <c r="B20" i="2"/>
  <c r="A20" i="2"/>
  <c r="V19" i="2"/>
  <c r="L19" i="2"/>
  <c r="K19" i="2"/>
  <c r="F19" i="2"/>
  <c r="D19" i="2"/>
  <c r="C19" i="2"/>
  <c r="B19" i="2"/>
  <c r="A19" i="2"/>
  <c r="V18" i="2"/>
  <c r="L18" i="2"/>
  <c r="K18" i="2"/>
  <c r="F18" i="2"/>
  <c r="D18" i="2"/>
  <c r="C18" i="2"/>
  <c r="B18" i="2"/>
  <c r="A18" i="2"/>
  <c r="V17" i="2"/>
  <c r="L17" i="2"/>
  <c r="K17" i="2"/>
  <c r="F17" i="2"/>
  <c r="D17" i="2"/>
  <c r="C17" i="2"/>
  <c r="B17" i="2"/>
  <c r="A17" i="2"/>
  <c r="V16" i="2"/>
  <c r="L16" i="2"/>
  <c r="K16" i="2"/>
  <c r="F16" i="2"/>
  <c r="D16" i="2"/>
  <c r="C16" i="2"/>
  <c r="B16" i="2"/>
  <c r="A16" i="2"/>
  <c r="V15" i="2"/>
  <c r="L15" i="2"/>
  <c r="K15" i="2"/>
  <c r="F15" i="2"/>
  <c r="D15" i="2"/>
  <c r="C15" i="2"/>
  <c r="B15" i="2"/>
  <c r="A15" i="2"/>
  <c r="V14" i="2"/>
  <c r="L14" i="2"/>
  <c r="K14" i="2"/>
  <c r="F14" i="2"/>
  <c r="D14" i="2"/>
  <c r="C14" i="2"/>
  <c r="B14" i="2"/>
  <c r="A14" i="2"/>
  <c r="V13" i="2"/>
  <c r="L13" i="2"/>
  <c r="K13" i="2"/>
  <c r="F13" i="2"/>
  <c r="D13" i="2"/>
  <c r="C13" i="2"/>
  <c r="B13" i="2"/>
  <c r="A13" i="2"/>
  <c r="V12" i="2"/>
  <c r="L12" i="2"/>
  <c r="K12" i="2"/>
  <c r="F12" i="2"/>
  <c r="D12" i="2"/>
  <c r="C12" i="2"/>
  <c r="B12" i="2"/>
  <c r="A12" i="2"/>
  <c r="V11" i="2"/>
  <c r="L11" i="2"/>
  <c r="K11" i="2"/>
  <c r="F11" i="2"/>
  <c r="D11" i="2"/>
  <c r="C11" i="2"/>
  <c r="B11" i="2"/>
  <c r="A11" i="2"/>
  <c r="V10" i="2"/>
  <c r="L10" i="2"/>
  <c r="K10" i="2"/>
  <c r="F10" i="2"/>
  <c r="D10" i="2"/>
  <c r="C10" i="2"/>
  <c r="V9" i="2"/>
  <c r="L9" i="2"/>
  <c r="K9" i="2"/>
  <c r="F9" i="2"/>
  <c r="D9" i="2"/>
  <c r="C9" i="2"/>
  <c r="V8" i="2"/>
  <c r="L8" i="2"/>
  <c r="K8" i="2"/>
  <c r="F8" i="2"/>
  <c r="D8" i="2"/>
  <c r="C8" i="2"/>
  <c r="V7" i="2"/>
  <c r="L7" i="2"/>
  <c r="K7" i="2"/>
  <c r="F7" i="2"/>
  <c r="D7" i="2"/>
  <c r="C7" i="2"/>
  <c r="V6" i="2"/>
  <c r="L6" i="2"/>
  <c r="K6" i="2"/>
  <c r="F6" i="2"/>
  <c r="D6" i="2"/>
  <c r="C6" i="2"/>
  <c r="L5" i="2"/>
  <c r="K5" i="2"/>
  <c r="F5" i="2"/>
  <c r="D5" i="2"/>
  <c r="C5" i="2"/>
  <c r="L4" i="2"/>
  <c r="K4" i="2"/>
  <c r="F4" i="2"/>
  <c r="D4" i="2"/>
  <c r="C4" i="2"/>
  <c r="L3" i="2"/>
  <c r="K3" i="2"/>
  <c r="F3" i="2"/>
  <c r="D3" i="2"/>
  <c r="C3" i="2"/>
  <c r="E1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D24" i="1"/>
  <c r="C24" i="1"/>
  <c r="L23" i="1"/>
  <c r="C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A10" i="2" s="1"/>
  <c r="O100" i="5" l="1"/>
  <c r="O106" i="5"/>
  <c r="N106" i="5"/>
  <c r="H72" i="5"/>
  <c r="N72" i="5"/>
  <c r="A34" i="3"/>
  <c r="B34" i="3"/>
  <c r="P92" i="5"/>
  <c r="P91" i="5" s="1"/>
  <c r="P81" i="4" s="1"/>
  <c r="E72" i="5"/>
  <c r="K72" i="5"/>
  <c r="P72" i="5"/>
  <c r="E100" i="5"/>
  <c r="K100" i="5"/>
  <c r="P100" i="5"/>
  <c r="H106" i="5"/>
  <c r="A33" i="3"/>
  <c r="B10" i="2"/>
  <c r="L100" i="5"/>
  <c r="J92" i="5"/>
  <c r="J91" i="5" s="1"/>
  <c r="J81" i="4" s="1"/>
  <c r="P86" i="5"/>
  <c r="O59" i="5"/>
  <c r="L72" i="5"/>
  <c r="G100" i="5"/>
  <c r="G86" i="5"/>
  <c r="L86" i="5"/>
  <c r="O86" i="5"/>
  <c r="N86" i="5"/>
  <c r="G92" i="5"/>
  <c r="L92" i="5"/>
  <c r="O92" i="5"/>
  <c r="O91" i="5" s="1"/>
  <c r="O81" i="4" s="1"/>
  <c r="N92" i="5"/>
  <c r="N91" i="5" s="1"/>
  <c r="N81" i="4" s="1"/>
  <c r="J42" i="5"/>
  <c r="E63" i="5"/>
  <c r="E58" i="5" s="1"/>
  <c r="H63" i="5"/>
  <c r="K63" i="5"/>
  <c r="N63" i="5"/>
  <c r="P63" i="5"/>
  <c r="J63" i="5"/>
  <c r="O63" i="5"/>
  <c r="E80" i="5"/>
  <c r="H80" i="5"/>
  <c r="K80" i="5"/>
  <c r="N80" i="5"/>
  <c r="N71" i="5" s="1"/>
  <c r="N45" i="4" s="1"/>
  <c r="P80" i="5"/>
  <c r="O80" i="5"/>
  <c r="K30" i="5"/>
  <c r="K33" i="5"/>
  <c r="O42" i="5"/>
  <c r="E53" i="5"/>
  <c r="H53" i="5"/>
  <c r="K53" i="5"/>
  <c r="N53" i="5"/>
  <c r="P53" i="5"/>
  <c r="J59" i="5"/>
  <c r="L59" i="5"/>
  <c r="J72" i="5"/>
  <c r="O72" i="5"/>
  <c r="L80" i="5"/>
  <c r="P30" i="5"/>
  <c r="L42" i="5"/>
  <c r="J53" i="5"/>
  <c r="L53" i="5"/>
  <c r="O53" i="5"/>
  <c r="H59" i="5"/>
  <c r="H58" i="5" s="1"/>
  <c r="K59" i="5"/>
  <c r="N59" i="5"/>
  <c r="P59" i="5"/>
  <c r="G63" i="5"/>
  <c r="G58" i="5" s="1"/>
  <c r="L63" i="5"/>
  <c r="G72" i="5"/>
  <c r="G80" i="5"/>
  <c r="J80" i="5"/>
  <c r="E86" i="5"/>
  <c r="E71" i="5" s="1"/>
  <c r="E45" i="4" s="1"/>
  <c r="H86" i="5"/>
  <c r="K86" i="5"/>
  <c r="K71" i="5" s="1"/>
  <c r="K45" i="4" s="1"/>
  <c r="E92" i="5"/>
  <c r="E91" i="5" s="1"/>
  <c r="E81" i="4" s="1"/>
  <c r="H92" i="5"/>
  <c r="H91" i="5" s="1"/>
  <c r="H81" i="4" s="1"/>
  <c r="K92" i="5"/>
  <c r="O23" i="5"/>
  <c r="L39" i="5"/>
  <c r="O19" i="5"/>
  <c r="E9" i="5"/>
  <c r="H9" i="5"/>
  <c r="K9" i="5"/>
  <c r="N9" i="5"/>
  <c r="P9" i="5"/>
  <c r="G15" i="5"/>
  <c r="J15" i="5"/>
  <c r="L15" i="5"/>
  <c r="O15" i="5"/>
  <c r="G19" i="5"/>
  <c r="L19" i="5"/>
  <c r="G23" i="5"/>
  <c r="J23" i="5"/>
  <c r="L23" i="5"/>
  <c r="G30" i="5"/>
  <c r="J30" i="5"/>
  <c r="L30" i="5"/>
  <c r="O30" i="5"/>
  <c r="J39" i="5"/>
  <c r="E42" i="5"/>
  <c r="H42" i="5"/>
  <c r="K42" i="5"/>
  <c r="N42" i="5"/>
  <c r="P42" i="5"/>
  <c r="G53" i="5"/>
  <c r="O5" i="5"/>
  <c r="H30" i="5"/>
  <c r="N30" i="5"/>
  <c r="G33" i="5"/>
  <c r="O33" i="5"/>
  <c r="L9" i="5"/>
  <c r="G5" i="5"/>
  <c r="L5" i="5"/>
  <c r="E19" i="5"/>
  <c r="H19" i="5"/>
  <c r="K19" i="5"/>
  <c r="N19" i="5"/>
  <c r="P19" i="5"/>
  <c r="J33" i="5"/>
  <c r="L33" i="5"/>
  <c r="O9" i="5"/>
  <c r="E5" i="5"/>
  <c r="H5" i="5"/>
  <c r="K5" i="5"/>
  <c r="N5" i="5"/>
  <c r="P5" i="5"/>
  <c r="G9" i="5"/>
  <c r="E33" i="5"/>
  <c r="J5" i="5"/>
  <c r="E23" i="5"/>
  <c r="E30" i="5"/>
  <c r="E39" i="5"/>
  <c r="G42" i="5"/>
  <c r="J9" i="5"/>
  <c r="E15" i="5"/>
  <c r="H15" i="5"/>
  <c r="K15" i="5"/>
  <c r="N15" i="5"/>
  <c r="P15" i="5"/>
  <c r="J19" i="5"/>
  <c r="H23" i="5"/>
  <c r="K23" i="5"/>
  <c r="N23" i="5"/>
  <c r="P23" i="5"/>
  <c r="H33" i="5"/>
  <c r="N33" i="5"/>
  <c r="P33" i="5"/>
  <c r="H39" i="5"/>
  <c r="N39" i="5"/>
  <c r="P39" i="5"/>
  <c r="L38" i="5"/>
  <c r="K39" i="5"/>
  <c r="G39" i="5"/>
  <c r="O39" i="5"/>
  <c r="M32" i="4"/>
  <c r="B3" i="2"/>
  <c r="A4" i="2"/>
  <c r="B5" i="2"/>
  <c r="A6" i="2"/>
  <c r="A7" i="2"/>
  <c r="A8" i="2"/>
  <c r="A9" i="2"/>
  <c r="B3" i="3"/>
  <c r="D68" i="5"/>
  <c r="D67" i="5"/>
  <c r="D66" i="5"/>
  <c r="D65" i="5"/>
  <c r="D64" i="5"/>
  <c r="D62" i="5"/>
  <c r="D61" i="5"/>
  <c r="D60" i="5"/>
  <c r="D57" i="5"/>
  <c r="D56" i="5"/>
  <c r="D55" i="5"/>
  <c r="D54" i="5"/>
  <c r="D52" i="5"/>
  <c r="D50" i="5"/>
  <c r="D48" i="5"/>
  <c r="D47" i="5"/>
  <c r="D46" i="5"/>
  <c r="D45" i="5"/>
  <c r="D44" i="5"/>
  <c r="D43" i="5"/>
  <c r="D41" i="5"/>
  <c r="D37" i="5"/>
  <c r="D35" i="5"/>
  <c r="D31" i="5"/>
  <c r="D29" i="5"/>
  <c r="D27" i="5"/>
  <c r="D25" i="5"/>
  <c r="D21" i="5"/>
  <c r="D17" i="5"/>
  <c r="D13" i="5"/>
  <c r="D11" i="5"/>
  <c r="D7" i="5"/>
  <c r="D40" i="5"/>
  <c r="D36" i="5"/>
  <c r="D34" i="5"/>
  <c r="D22" i="5"/>
  <c r="D20" i="5"/>
  <c r="D14" i="5"/>
  <c r="D12" i="5"/>
  <c r="D10" i="5"/>
  <c r="D32" i="5"/>
  <c r="D28" i="5"/>
  <c r="D26" i="5"/>
  <c r="D24" i="5"/>
  <c r="D18" i="5"/>
  <c r="D16" i="5"/>
  <c r="D8" i="5"/>
  <c r="D6" i="5"/>
  <c r="A4" i="3"/>
  <c r="B5" i="3"/>
  <c r="A6" i="3"/>
  <c r="I108" i="5"/>
  <c r="I107" i="5"/>
  <c r="I105" i="5"/>
  <c r="I104" i="5"/>
  <c r="I103" i="5"/>
  <c r="I102" i="5"/>
  <c r="I101" i="5"/>
  <c r="I99" i="5"/>
  <c r="I98" i="5"/>
  <c r="I97" i="5"/>
  <c r="I96" i="5"/>
  <c r="I95" i="5"/>
  <c r="I94" i="5"/>
  <c r="I93" i="5"/>
  <c r="I88" i="5"/>
  <c r="I87" i="5"/>
  <c r="I85" i="5"/>
  <c r="I84" i="5"/>
  <c r="I83" i="5"/>
  <c r="I82" i="5"/>
  <c r="I81" i="5"/>
  <c r="I79" i="5"/>
  <c r="I78" i="5"/>
  <c r="I77" i="5"/>
  <c r="I76" i="5"/>
  <c r="I75" i="5"/>
  <c r="I74" i="5"/>
  <c r="I73" i="5"/>
  <c r="B7" i="3"/>
  <c r="A8" i="3"/>
  <c r="B9" i="3"/>
  <c r="A10" i="3"/>
  <c r="B11" i="3"/>
  <c r="A12" i="3"/>
  <c r="B13" i="3"/>
  <c r="A14" i="3"/>
  <c r="B15" i="3"/>
  <c r="A16" i="3"/>
  <c r="B17" i="3"/>
  <c r="A18" i="3"/>
  <c r="B19" i="3"/>
  <c r="A20" i="3"/>
  <c r="B21" i="3"/>
  <c r="A22" i="3"/>
  <c r="B23" i="3"/>
  <c r="A24" i="3"/>
  <c r="B25" i="3"/>
  <c r="A26" i="3"/>
  <c r="B27" i="3"/>
  <c r="A28" i="3"/>
  <c r="B29" i="3"/>
  <c r="A30" i="3"/>
  <c r="F108" i="5"/>
  <c r="F107" i="5"/>
  <c r="F105" i="5"/>
  <c r="F104" i="5"/>
  <c r="F103" i="5"/>
  <c r="F102" i="5"/>
  <c r="F101" i="5"/>
  <c r="F99" i="5"/>
  <c r="F98" i="5"/>
  <c r="F97" i="5"/>
  <c r="F96" i="5"/>
  <c r="F95" i="5"/>
  <c r="F94" i="5"/>
  <c r="F93" i="5"/>
  <c r="F88" i="5"/>
  <c r="F87" i="5"/>
  <c r="F85" i="5"/>
  <c r="F84" i="5"/>
  <c r="F83" i="5"/>
  <c r="F82" i="5"/>
  <c r="F81" i="5"/>
  <c r="F79" i="5"/>
  <c r="F78" i="5"/>
  <c r="F77" i="5"/>
  <c r="F76" i="5"/>
  <c r="F75" i="5"/>
  <c r="F74" i="5"/>
  <c r="F73" i="5"/>
  <c r="B31" i="3"/>
  <c r="A32" i="3"/>
  <c r="B33" i="3"/>
  <c r="M68" i="5"/>
  <c r="M67" i="5"/>
  <c r="M66" i="5"/>
  <c r="M65" i="5"/>
  <c r="M64" i="5"/>
  <c r="M62" i="5"/>
  <c r="M40" i="5"/>
  <c r="M37" i="5"/>
  <c r="M36" i="5"/>
  <c r="M35" i="5"/>
  <c r="M34" i="5"/>
  <c r="M32" i="5"/>
  <c r="M31" i="5"/>
  <c r="M29" i="5"/>
  <c r="M28" i="5"/>
  <c r="M27" i="5"/>
  <c r="M26" i="5"/>
  <c r="M25" i="5"/>
  <c r="M24" i="5"/>
  <c r="M22" i="5"/>
  <c r="M21" i="5"/>
  <c r="M20" i="5"/>
  <c r="M18" i="5"/>
  <c r="M17" i="5"/>
  <c r="M16" i="5"/>
  <c r="M14" i="5"/>
  <c r="M13" i="5"/>
  <c r="M12" i="5"/>
  <c r="M11" i="5"/>
  <c r="M10" i="5"/>
  <c r="M8" i="5"/>
  <c r="M7" i="5"/>
  <c r="M6" i="5"/>
  <c r="M57" i="5"/>
  <c r="M56" i="5"/>
  <c r="M55" i="5"/>
  <c r="M54" i="5"/>
  <c r="M52" i="5"/>
  <c r="M51" i="5" s="1"/>
  <c r="M50" i="5"/>
  <c r="M49" i="5" s="1"/>
  <c r="M48" i="5"/>
  <c r="M47" i="5"/>
  <c r="M46" i="5"/>
  <c r="M45" i="5"/>
  <c r="M44" i="5"/>
  <c r="M43" i="5"/>
  <c r="M41" i="5"/>
  <c r="M61" i="5"/>
  <c r="M60" i="5"/>
  <c r="E11" i="4"/>
  <c r="G11" i="4"/>
  <c r="I11" i="4"/>
  <c r="K11" i="4"/>
  <c r="M11" i="4"/>
  <c r="O11" i="4"/>
  <c r="E12" i="4"/>
  <c r="G12" i="4"/>
  <c r="I12" i="4"/>
  <c r="K12" i="4"/>
  <c r="M12" i="4"/>
  <c r="O12" i="4"/>
  <c r="E13" i="4"/>
  <c r="G13" i="4"/>
  <c r="I13" i="4"/>
  <c r="K13" i="4"/>
  <c r="M13" i="4"/>
  <c r="O13" i="4"/>
  <c r="E14" i="4"/>
  <c r="G14" i="4"/>
  <c r="I14" i="4"/>
  <c r="K14" i="4"/>
  <c r="M14" i="4"/>
  <c r="O14" i="4"/>
  <c r="E15" i="4"/>
  <c r="G15" i="4"/>
  <c r="I15" i="4"/>
  <c r="K15" i="4"/>
  <c r="M15" i="4"/>
  <c r="O15" i="4"/>
  <c r="E16" i="4"/>
  <c r="G16" i="4"/>
  <c r="I16" i="4"/>
  <c r="K16" i="4"/>
  <c r="M16" i="4"/>
  <c r="O16" i="4"/>
  <c r="E17" i="4"/>
  <c r="G17" i="4"/>
  <c r="I17" i="4"/>
  <c r="K17" i="4"/>
  <c r="M17" i="4"/>
  <c r="O17" i="4"/>
  <c r="E18" i="4"/>
  <c r="I18" i="4"/>
  <c r="M18" i="4"/>
  <c r="G19" i="4"/>
  <c r="K19" i="4"/>
  <c r="O19" i="4"/>
  <c r="E20" i="4"/>
  <c r="I20" i="4"/>
  <c r="M20" i="4"/>
  <c r="G21" i="4"/>
  <c r="K21" i="4"/>
  <c r="O21" i="4"/>
  <c r="E22" i="4"/>
  <c r="I22" i="4"/>
  <c r="M22" i="4"/>
  <c r="G23" i="4"/>
  <c r="K23" i="4"/>
  <c r="O23" i="4"/>
  <c r="E24" i="4"/>
  <c r="I24" i="4"/>
  <c r="M24" i="4"/>
  <c r="G25" i="4"/>
  <c r="K25" i="4"/>
  <c r="O25" i="4"/>
  <c r="G27" i="4"/>
  <c r="K27" i="4"/>
  <c r="O27" i="4"/>
  <c r="E28" i="4"/>
  <c r="I28" i="4"/>
  <c r="M28" i="4"/>
  <c r="G29" i="4"/>
  <c r="K29" i="4"/>
  <c r="O29" i="4"/>
  <c r="E30" i="4"/>
  <c r="I30" i="4"/>
  <c r="M30" i="4"/>
  <c r="G31" i="4"/>
  <c r="K31" i="4"/>
  <c r="O31" i="4"/>
  <c r="E32" i="4"/>
  <c r="I32" i="4"/>
  <c r="A3" i="2"/>
  <c r="P106" i="4"/>
  <c r="P108" i="4" s="1"/>
  <c r="N106" i="4"/>
  <c r="N108" i="4" s="1"/>
  <c r="L106" i="4"/>
  <c r="L108" i="4" s="1"/>
  <c r="J106" i="4"/>
  <c r="J108" i="4" s="1"/>
  <c r="H106" i="4"/>
  <c r="H108" i="4" s="1"/>
  <c r="F106" i="4"/>
  <c r="F108" i="4" s="1"/>
  <c r="D106" i="4"/>
  <c r="P104" i="4"/>
  <c r="N104" i="4"/>
  <c r="L104" i="4"/>
  <c r="J104" i="4"/>
  <c r="H104" i="4"/>
  <c r="F104" i="4"/>
  <c r="D104" i="4"/>
  <c r="P103" i="4"/>
  <c r="N103" i="4"/>
  <c r="L103" i="4"/>
  <c r="J103" i="4"/>
  <c r="H103" i="4"/>
  <c r="F103" i="4"/>
  <c r="D103" i="4"/>
  <c r="P102" i="4"/>
  <c r="O106" i="4"/>
  <c r="O108" i="4" s="1"/>
  <c r="K106" i="4"/>
  <c r="K108" i="4" s="1"/>
  <c r="G106" i="4"/>
  <c r="G108" i="4" s="1"/>
  <c r="O104" i="4"/>
  <c r="K104" i="4"/>
  <c r="G104" i="4"/>
  <c r="M103" i="4"/>
  <c r="I103" i="4"/>
  <c r="E103" i="4"/>
  <c r="O102" i="4"/>
  <c r="M102" i="4"/>
  <c r="K102" i="4"/>
  <c r="I102" i="4"/>
  <c r="G102" i="4"/>
  <c r="E102" i="4"/>
  <c r="O101" i="4"/>
  <c r="M101" i="4"/>
  <c r="K101" i="4"/>
  <c r="I101" i="4"/>
  <c r="G101" i="4"/>
  <c r="E101" i="4"/>
  <c r="O100" i="4"/>
  <c r="M100" i="4"/>
  <c r="K100" i="4"/>
  <c r="I100" i="4"/>
  <c r="G100" i="4"/>
  <c r="E100" i="4"/>
  <c r="O99" i="4"/>
  <c r="M99" i="4"/>
  <c r="K99" i="4"/>
  <c r="I99" i="4"/>
  <c r="G99" i="4"/>
  <c r="E99" i="4"/>
  <c r="O97" i="4"/>
  <c r="M97" i="4"/>
  <c r="K97" i="4"/>
  <c r="I97" i="4"/>
  <c r="G97" i="4"/>
  <c r="E97" i="4"/>
  <c r="O96" i="4"/>
  <c r="M96" i="4"/>
  <c r="K96" i="4"/>
  <c r="I96" i="4"/>
  <c r="G96" i="4"/>
  <c r="E96" i="4"/>
  <c r="O95" i="4"/>
  <c r="M95" i="4"/>
  <c r="K95" i="4"/>
  <c r="I95" i="4"/>
  <c r="G95" i="4"/>
  <c r="E95" i="4"/>
  <c r="O94" i="4"/>
  <c r="M94" i="4"/>
  <c r="K94" i="4"/>
  <c r="I94" i="4"/>
  <c r="G94" i="4"/>
  <c r="E94" i="4"/>
  <c r="O93" i="4"/>
  <c r="M93" i="4"/>
  <c r="K93" i="4"/>
  <c r="I93" i="4"/>
  <c r="G93" i="4"/>
  <c r="E93" i="4"/>
  <c r="O92" i="4"/>
  <c r="M92" i="4"/>
  <c r="K92" i="4"/>
  <c r="I92" i="4"/>
  <c r="G92" i="4"/>
  <c r="E92" i="4"/>
  <c r="O91" i="4"/>
  <c r="M91" i="4"/>
  <c r="K91" i="4"/>
  <c r="I91" i="4"/>
  <c r="G91" i="4"/>
  <c r="E91" i="4"/>
  <c r="O90" i="4"/>
  <c r="M90" i="4"/>
  <c r="K90" i="4"/>
  <c r="I90" i="4"/>
  <c r="G90" i="4"/>
  <c r="E90" i="4"/>
  <c r="O89" i="4"/>
  <c r="M89" i="4"/>
  <c r="K89" i="4"/>
  <c r="I89" i="4"/>
  <c r="G89" i="4"/>
  <c r="E89" i="4"/>
  <c r="O88" i="4"/>
  <c r="M88" i="4"/>
  <c r="K88" i="4"/>
  <c r="I88" i="4"/>
  <c r="G88" i="4"/>
  <c r="E88" i="4"/>
  <c r="O87" i="4"/>
  <c r="M87" i="4"/>
  <c r="K87" i="4"/>
  <c r="I87" i="4"/>
  <c r="G87" i="4"/>
  <c r="E87" i="4"/>
  <c r="O86" i="4"/>
  <c r="M86" i="4"/>
  <c r="K86" i="4"/>
  <c r="I86" i="4"/>
  <c r="G86" i="4"/>
  <c r="E86" i="4"/>
  <c r="O85" i="4"/>
  <c r="M85" i="4"/>
  <c r="K85" i="4"/>
  <c r="I85" i="4"/>
  <c r="G85" i="4"/>
  <c r="E85" i="4"/>
  <c r="O84" i="4"/>
  <c r="M84" i="4"/>
  <c r="K84" i="4"/>
  <c r="I84" i="4"/>
  <c r="G84" i="4"/>
  <c r="E84" i="4"/>
  <c r="O83" i="4"/>
  <c r="M83" i="4"/>
  <c r="K83" i="4"/>
  <c r="K98" i="4" s="1"/>
  <c r="I83" i="4"/>
  <c r="G83" i="4"/>
  <c r="E83" i="4"/>
  <c r="O70" i="4"/>
  <c r="O72" i="4" s="1"/>
  <c r="M70" i="4"/>
  <c r="M72" i="4" s="1"/>
  <c r="K70" i="4"/>
  <c r="K72" i="4" s="1"/>
  <c r="I70" i="4"/>
  <c r="I72" i="4" s="1"/>
  <c r="G70" i="4"/>
  <c r="G72" i="4" s="1"/>
  <c r="E70" i="4"/>
  <c r="E72" i="4" s="1"/>
  <c r="O68" i="4"/>
  <c r="M68" i="4"/>
  <c r="K68" i="4"/>
  <c r="I68" i="4"/>
  <c r="G68" i="4"/>
  <c r="E68" i="4"/>
  <c r="O67" i="4"/>
  <c r="M67" i="4"/>
  <c r="M106" i="4"/>
  <c r="M108" i="4" s="1"/>
  <c r="E106" i="4"/>
  <c r="E108" i="4" s="1"/>
  <c r="I104" i="4"/>
  <c r="O103" i="4"/>
  <c r="G103" i="4"/>
  <c r="N102" i="4"/>
  <c r="J102" i="4"/>
  <c r="F102" i="4"/>
  <c r="P101" i="4"/>
  <c r="L101" i="4"/>
  <c r="H101" i="4"/>
  <c r="D101" i="4"/>
  <c r="N100" i="4"/>
  <c r="J100" i="4"/>
  <c r="F100" i="4"/>
  <c r="P99" i="4"/>
  <c r="L99" i="4"/>
  <c r="H99" i="4"/>
  <c r="D99" i="4"/>
  <c r="P97" i="4"/>
  <c r="L97" i="4"/>
  <c r="H97" i="4"/>
  <c r="D97" i="4"/>
  <c r="N96" i="4"/>
  <c r="J96" i="4"/>
  <c r="F96" i="4"/>
  <c r="P95" i="4"/>
  <c r="L95" i="4"/>
  <c r="H95" i="4"/>
  <c r="D95" i="4"/>
  <c r="N94" i="4"/>
  <c r="J94" i="4"/>
  <c r="F94" i="4"/>
  <c r="P93" i="4"/>
  <c r="L93" i="4"/>
  <c r="H93" i="4"/>
  <c r="D93" i="4"/>
  <c r="N92" i="4"/>
  <c r="J92" i="4"/>
  <c r="F92" i="4"/>
  <c r="P91" i="4"/>
  <c r="L91" i="4"/>
  <c r="H91" i="4"/>
  <c r="D91" i="4"/>
  <c r="N90" i="4"/>
  <c r="J90" i="4"/>
  <c r="F90" i="4"/>
  <c r="P89" i="4"/>
  <c r="L89" i="4"/>
  <c r="H89" i="4"/>
  <c r="D89" i="4"/>
  <c r="N88" i="4"/>
  <c r="J88" i="4"/>
  <c r="F88" i="4"/>
  <c r="P87" i="4"/>
  <c r="L87" i="4"/>
  <c r="H87" i="4"/>
  <c r="D87" i="4"/>
  <c r="N86" i="4"/>
  <c r="J86" i="4"/>
  <c r="F86" i="4"/>
  <c r="P85" i="4"/>
  <c r="L85" i="4"/>
  <c r="H85" i="4"/>
  <c r="D85" i="4"/>
  <c r="N84" i="4"/>
  <c r="J84" i="4"/>
  <c r="F84" i="4"/>
  <c r="P83" i="4"/>
  <c r="L83" i="4"/>
  <c r="H83" i="4"/>
  <c r="D83" i="4"/>
  <c r="N70" i="4"/>
  <c r="N72" i="4" s="1"/>
  <c r="J70" i="4"/>
  <c r="J72" i="4" s="1"/>
  <c r="F70" i="4"/>
  <c r="F72" i="4" s="1"/>
  <c r="N68" i="4"/>
  <c r="J68" i="4"/>
  <c r="F68" i="4"/>
  <c r="P67" i="4"/>
  <c r="L67" i="4"/>
  <c r="J67" i="4"/>
  <c r="H67" i="4"/>
  <c r="F67" i="4"/>
  <c r="D67" i="4"/>
  <c r="P66" i="4"/>
  <c r="N66" i="4"/>
  <c r="L66" i="4"/>
  <c r="J66" i="4"/>
  <c r="H66" i="4"/>
  <c r="F66" i="4"/>
  <c r="D66" i="4"/>
  <c r="P65" i="4"/>
  <c r="N65" i="4"/>
  <c r="L65" i="4"/>
  <c r="J65" i="4"/>
  <c r="H65" i="4"/>
  <c r="F65" i="4"/>
  <c r="D65" i="4"/>
  <c r="P64" i="4"/>
  <c r="N64" i="4"/>
  <c r="L64" i="4"/>
  <c r="J64" i="4"/>
  <c r="H64" i="4"/>
  <c r="F64" i="4"/>
  <c r="D64" i="4"/>
  <c r="P63" i="4"/>
  <c r="N63" i="4"/>
  <c r="L63" i="4"/>
  <c r="J63" i="4"/>
  <c r="H63" i="4"/>
  <c r="F63" i="4"/>
  <c r="D63" i="4"/>
  <c r="P61" i="4"/>
  <c r="N61" i="4"/>
  <c r="L61" i="4"/>
  <c r="J61" i="4"/>
  <c r="H61" i="4"/>
  <c r="F61" i="4"/>
  <c r="D61" i="4"/>
  <c r="P60" i="4"/>
  <c r="N60" i="4"/>
  <c r="L60" i="4"/>
  <c r="J60" i="4"/>
  <c r="H60" i="4"/>
  <c r="F60" i="4"/>
  <c r="D60" i="4"/>
  <c r="P59" i="4"/>
  <c r="N59" i="4"/>
  <c r="L59" i="4"/>
  <c r="J59" i="4"/>
  <c r="H59" i="4"/>
  <c r="F59" i="4"/>
  <c r="D59" i="4"/>
  <c r="P58" i="4"/>
  <c r="N58" i="4"/>
  <c r="L58" i="4"/>
  <c r="J58" i="4"/>
  <c r="H58" i="4"/>
  <c r="F58" i="4"/>
  <c r="D58" i="4"/>
  <c r="P57" i="4"/>
  <c r="N57" i="4"/>
  <c r="L57" i="4"/>
  <c r="J57" i="4"/>
  <c r="H57" i="4"/>
  <c r="F57" i="4"/>
  <c r="D57" i="4"/>
  <c r="P56" i="4"/>
  <c r="N56" i="4"/>
  <c r="L56" i="4"/>
  <c r="J56" i="4"/>
  <c r="H56" i="4"/>
  <c r="F56" i="4"/>
  <c r="D56" i="4"/>
  <c r="P55" i="4"/>
  <c r="N55" i="4"/>
  <c r="L55" i="4"/>
  <c r="J55" i="4"/>
  <c r="H55" i="4"/>
  <c r="F55" i="4"/>
  <c r="D55" i="4"/>
  <c r="P54" i="4"/>
  <c r="N54" i="4"/>
  <c r="L54" i="4"/>
  <c r="J54" i="4"/>
  <c r="H54" i="4"/>
  <c r="F54" i="4"/>
  <c r="D54" i="4"/>
  <c r="P53" i="4"/>
  <c r="N53" i="4"/>
  <c r="L53" i="4"/>
  <c r="J53" i="4"/>
  <c r="H53" i="4"/>
  <c r="F53" i="4"/>
  <c r="D53" i="4"/>
  <c r="P52" i="4"/>
  <c r="N52" i="4"/>
  <c r="L52" i="4"/>
  <c r="J52" i="4"/>
  <c r="H52" i="4"/>
  <c r="F52" i="4"/>
  <c r="D52" i="4"/>
  <c r="P51" i="4"/>
  <c r="N51" i="4"/>
  <c r="L51" i="4"/>
  <c r="J51" i="4"/>
  <c r="H51" i="4"/>
  <c r="F51" i="4"/>
  <c r="D51" i="4"/>
  <c r="P50" i="4"/>
  <c r="N50" i="4"/>
  <c r="L50" i="4"/>
  <c r="J50" i="4"/>
  <c r="H50" i="4"/>
  <c r="F50" i="4"/>
  <c r="D50" i="4"/>
  <c r="P49" i="4"/>
  <c r="N49" i="4"/>
  <c r="L49" i="4"/>
  <c r="J49" i="4"/>
  <c r="H49" i="4"/>
  <c r="F49" i="4"/>
  <c r="D49" i="4"/>
  <c r="P48" i="4"/>
  <c r="N48" i="4"/>
  <c r="L48" i="4"/>
  <c r="J48" i="4"/>
  <c r="H48" i="4"/>
  <c r="F48" i="4"/>
  <c r="D48" i="4"/>
  <c r="P47" i="4"/>
  <c r="N47" i="4"/>
  <c r="L47" i="4"/>
  <c r="J47" i="4"/>
  <c r="H47" i="4"/>
  <c r="F47" i="4"/>
  <c r="D47" i="4"/>
  <c r="O35" i="4"/>
  <c r="M35" i="4"/>
  <c r="K35" i="4"/>
  <c r="I35" i="4"/>
  <c r="G35" i="4"/>
  <c r="E35" i="4"/>
  <c r="O34" i="4"/>
  <c r="M34" i="4"/>
  <c r="K34" i="4"/>
  <c r="I34" i="4"/>
  <c r="I36" i="4" s="1"/>
  <c r="G34" i="4"/>
  <c r="E34" i="4"/>
  <c r="I106" i="4"/>
  <c r="I108" i="4" s="1"/>
  <c r="M104" i="4"/>
  <c r="E104" i="4"/>
  <c r="K103" i="4"/>
  <c r="L102" i="4"/>
  <c r="H102" i="4"/>
  <c r="D102" i="4"/>
  <c r="N101" i="4"/>
  <c r="J101" i="4"/>
  <c r="F101" i="4"/>
  <c r="P100" i="4"/>
  <c r="L100" i="4"/>
  <c r="H100" i="4"/>
  <c r="D100" i="4"/>
  <c r="N99" i="4"/>
  <c r="J99" i="4"/>
  <c r="F99" i="4"/>
  <c r="N97" i="4"/>
  <c r="J97" i="4"/>
  <c r="F97" i="4"/>
  <c r="P96" i="4"/>
  <c r="L96" i="4"/>
  <c r="H96" i="4"/>
  <c r="D96" i="4"/>
  <c r="N95" i="4"/>
  <c r="J95" i="4"/>
  <c r="F95" i="4"/>
  <c r="P94" i="4"/>
  <c r="L94" i="4"/>
  <c r="H94" i="4"/>
  <c r="D94" i="4"/>
  <c r="N93" i="4"/>
  <c r="J93" i="4"/>
  <c r="F93" i="4"/>
  <c r="P92" i="4"/>
  <c r="L92" i="4"/>
  <c r="H92" i="4"/>
  <c r="D92" i="4"/>
  <c r="N91" i="4"/>
  <c r="J91" i="4"/>
  <c r="F91" i="4"/>
  <c r="P90" i="4"/>
  <c r="L90" i="4"/>
  <c r="H90" i="4"/>
  <c r="D90" i="4"/>
  <c r="N89" i="4"/>
  <c r="J89" i="4"/>
  <c r="F89" i="4"/>
  <c r="P88" i="4"/>
  <c r="L88" i="4"/>
  <c r="H88" i="4"/>
  <c r="D88" i="4"/>
  <c r="N87" i="4"/>
  <c r="J87" i="4"/>
  <c r="F87" i="4"/>
  <c r="P86" i="4"/>
  <c r="L86" i="4"/>
  <c r="H86" i="4"/>
  <c r="D86" i="4"/>
  <c r="N85" i="4"/>
  <c r="J85" i="4"/>
  <c r="F85" i="4"/>
  <c r="P84" i="4"/>
  <c r="L84" i="4"/>
  <c r="H84" i="4"/>
  <c r="D84" i="4"/>
  <c r="N83" i="4"/>
  <c r="J83" i="4"/>
  <c r="F83" i="4"/>
  <c r="P70" i="4"/>
  <c r="P72" i="4" s="1"/>
  <c r="L70" i="4"/>
  <c r="L72" i="4" s="1"/>
  <c r="H70" i="4"/>
  <c r="H72" i="4" s="1"/>
  <c r="D70" i="4"/>
  <c r="P68" i="4"/>
  <c r="L68" i="4"/>
  <c r="H68" i="4"/>
  <c r="D68" i="4"/>
  <c r="N67" i="4"/>
  <c r="K67" i="4"/>
  <c r="I67" i="4"/>
  <c r="G67" i="4"/>
  <c r="E67" i="4"/>
  <c r="O66" i="4"/>
  <c r="M66" i="4"/>
  <c r="K66" i="4"/>
  <c r="I66" i="4"/>
  <c r="G66" i="4"/>
  <c r="E66" i="4"/>
  <c r="O65" i="4"/>
  <c r="M65" i="4"/>
  <c r="K65" i="4"/>
  <c r="I65" i="4"/>
  <c r="G65" i="4"/>
  <c r="E65" i="4"/>
  <c r="O64" i="4"/>
  <c r="M64" i="4"/>
  <c r="K64" i="4"/>
  <c r="I64" i="4"/>
  <c r="G64" i="4"/>
  <c r="E64" i="4"/>
  <c r="O63" i="4"/>
  <c r="M63" i="4"/>
  <c r="K63" i="4"/>
  <c r="I63" i="4"/>
  <c r="G63" i="4"/>
  <c r="E63" i="4"/>
  <c r="O61" i="4"/>
  <c r="M61" i="4"/>
  <c r="K61" i="4"/>
  <c r="I61" i="4"/>
  <c r="G61" i="4"/>
  <c r="E61" i="4"/>
  <c r="O60" i="4"/>
  <c r="M60" i="4"/>
  <c r="K60" i="4"/>
  <c r="I60" i="4"/>
  <c r="G60" i="4"/>
  <c r="E60" i="4"/>
  <c r="O59" i="4"/>
  <c r="M59" i="4"/>
  <c r="K59" i="4"/>
  <c r="I59" i="4"/>
  <c r="G59" i="4"/>
  <c r="E59" i="4"/>
  <c r="O58" i="4"/>
  <c r="M58" i="4"/>
  <c r="K58" i="4"/>
  <c r="I58" i="4"/>
  <c r="G58" i="4"/>
  <c r="E58" i="4"/>
  <c r="O57" i="4"/>
  <c r="M57" i="4"/>
  <c r="K57" i="4"/>
  <c r="I57" i="4"/>
  <c r="G57" i="4"/>
  <c r="E57" i="4"/>
  <c r="O56" i="4"/>
  <c r="M56" i="4"/>
  <c r="K56" i="4"/>
  <c r="I56" i="4"/>
  <c r="G56" i="4"/>
  <c r="E56" i="4"/>
  <c r="O55" i="4"/>
  <c r="M55" i="4"/>
  <c r="K55" i="4"/>
  <c r="I55" i="4"/>
  <c r="G55" i="4"/>
  <c r="E55" i="4"/>
  <c r="O54" i="4"/>
  <c r="M54" i="4"/>
  <c r="K54" i="4"/>
  <c r="I54" i="4"/>
  <c r="G54" i="4"/>
  <c r="E54" i="4"/>
  <c r="O53" i="4"/>
  <c r="M53" i="4"/>
  <c r="K53" i="4"/>
  <c r="I53" i="4"/>
  <c r="G53" i="4"/>
  <c r="E53" i="4"/>
  <c r="O52" i="4"/>
  <c r="M52" i="4"/>
  <c r="K52" i="4"/>
  <c r="I52" i="4"/>
  <c r="G52" i="4"/>
  <c r="E52" i="4"/>
  <c r="O51" i="4"/>
  <c r="M51" i="4"/>
  <c r="K51" i="4"/>
  <c r="I51" i="4"/>
  <c r="G51" i="4"/>
  <c r="E51" i="4"/>
  <c r="O50" i="4"/>
  <c r="M50" i="4"/>
  <c r="K50" i="4"/>
  <c r="I50" i="4"/>
  <c r="G50" i="4"/>
  <c r="E50" i="4"/>
  <c r="O49" i="4"/>
  <c r="M49" i="4"/>
  <c r="K49" i="4"/>
  <c r="I49" i="4"/>
  <c r="G49" i="4"/>
  <c r="E49" i="4"/>
  <c r="O48" i="4"/>
  <c r="M48" i="4"/>
  <c r="K48" i="4"/>
  <c r="I48" i="4"/>
  <c r="G48" i="4"/>
  <c r="E48" i="4"/>
  <c r="O47" i="4"/>
  <c r="M47" i="4"/>
  <c r="K47" i="4"/>
  <c r="I47" i="4"/>
  <c r="I62" i="4" s="1"/>
  <c r="G47" i="4"/>
  <c r="E47" i="4"/>
  <c r="P35" i="4"/>
  <c r="N35" i="4"/>
  <c r="L35" i="4"/>
  <c r="J35" i="4"/>
  <c r="H35" i="4"/>
  <c r="F35" i="4"/>
  <c r="D35" i="4"/>
  <c r="P34" i="4"/>
  <c r="N34" i="4"/>
  <c r="L34" i="4"/>
  <c r="J34" i="4"/>
  <c r="H34" i="4"/>
  <c r="F34" i="4"/>
  <c r="D34" i="4"/>
  <c r="P32" i="4"/>
  <c r="N32" i="4"/>
  <c r="L32" i="4"/>
  <c r="J32" i="4"/>
  <c r="H32" i="4"/>
  <c r="F32" i="4"/>
  <c r="D32" i="4"/>
  <c r="P31" i="4"/>
  <c r="N31" i="4"/>
  <c r="L31" i="4"/>
  <c r="J31" i="4"/>
  <c r="H31" i="4"/>
  <c r="F31" i="4"/>
  <c r="D31" i="4"/>
  <c r="P30" i="4"/>
  <c r="N30" i="4"/>
  <c r="L30" i="4"/>
  <c r="J30" i="4"/>
  <c r="H30" i="4"/>
  <c r="F30" i="4"/>
  <c r="D30" i="4"/>
  <c r="P29" i="4"/>
  <c r="N29" i="4"/>
  <c r="L29" i="4"/>
  <c r="J29" i="4"/>
  <c r="H29" i="4"/>
  <c r="F29" i="4"/>
  <c r="D29" i="4"/>
  <c r="P28" i="4"/>
  <c r="N28" i="4"/>
  <c r="L28" i="4"/>
  <c r="J28" i="4"/>
  <c r="H28" i="4"/>
  <c r="F28" i="4"/>
  <c r="D28" i="4"/>
  <c r="P27" i="4"/>
  <c r="N27" i="4"/>
  <c r="L27" i="4"/>
  <c r="J27" i="4"/>
  <c r="H27" i="4"/>
  <c r="F27" i="4"/>
  <c r="D27" i="4"/>
  <c r="P25" i="4"/>
  <c r="N25" i="4"/>
  <c r="L25" i="4"/>
  <c r="J25" i="4"/>
  <c r="H25" i="4"/>
  <c r="F25" i="4"/>
  <c r="D25" i="4"/>
  <c r="P24" i="4"/>
  <c r="N24" i="4"/>
  <c r="L24" i="4"/>
  <c r="J24" i="4"/>
  <c r="H24" i="4"/>
  <c r="F24" i="4"/>
  <c r="D24" i="4"/>
  <c r="P23" i="4"/>
  <c r="N23" i="4"/>
  <c r="L23" i="4"/>
  <c r="J23" i="4"/>
  <c r="H23" i="4"/>
  <c r="F23" i="4"/>
  <c r="D23" i="4"/>
  <c r="P22" i="4"/>
  <c r="N22" i="4"/>
  <c r="L22" i="4"/>
  <c r="J22" i="4"/>
  <c r="H22" i="4"/>
  <c r="F22" i="4"/>
  <c r="D22" i="4"/>
  <c r="P21" i="4"/>
  <c r="N21" i="4"/>
  <c r="L21" i="4"/>
  <c r="J21" i="4"/>
  <c r="H21" i="4"/>
  <c r="F21" i="4"/>
  <c r="D21" i="4"/>
  <c r="P20" i="4"/>
  <c r="N20" i="4"/>
  <c r="L20" i="4"/>
  <c r="J20" i="4"/>
  <c r="H20" i="4"/>
  <c r="F20" i="4"/>
  <c r="D20" i="4"/>
  <c r="P19" i="4"/>
  <c r="N19" i="4"/>
  <c r="L19" i="4"/>
  <c r="J19" i="4"/>
  <c r="H19" i="4"/>
  <c r="F19" i="4"/>
  <c r="D19" i="4"/>
  <c r="P18" i="4"/>
  <c r="N18" i="4"/>
  <c r="L18" i="4"/>
  <c r="J18" i="4"/>
  <c r="H18" i="4"/>
  <c r="F18" i="4"/>
  <c r="B4" i="2"/>
  <c r="A5" i="2"/>
  <c r="B6" i="2"/>
  <c r="B7" i="2"/>
  <c r="B8" i="2"/>
  <c r="B9" i="2"/>
  <c r="A3" i="3"/>
  <c r="D108" i="5"/>
  <c r="D107" i="5"/>
  <c r="D105" i="5"/>
  <c r="D104" i="5"/>
  <c r="D103" i="5"/>
  <c r="D102" i="5"/>
  <c r="D101" i="5"/>
  <c r="D99" i="5"/>
  <c r="D98" i="5"/>
  <c r="D97" i="5"/>
  <c r="D96" i="5"/>
  <c r="D95" i="5"/>
  <c r="D94" i="5"/>
  <c r="D93" i="5"/>
  <c r="D88" i="5"/>
  <c r="D87" i="5"/>
  <c r="D85" i="5"/>
  <c r="D84" i="5"/>
  <c r="D83" i="5"/>
  <c r="D82" i="5"/>
  <c r="D81" i="5"/>
  <c r="D79" i="5"/>
  <c r="D78" i="5"/>
  <c r="D77" i="5"/>
  <c r="D76" i="5"/>
  <c r="D75" i="5"/>
  <c r="D74" i="5"/>
  <c r="D73" i="5"/>
  <c r="B4" i="3"/>
  <c r="A5" i="3"/>
  <c r="B6" i="3"/>
  <c r="I68" i="5"/>
  <c r="I67" i="5"/>
  <c r="I66" i="5"/>
  <c r="I65" i="5"/>
  <c r="I64" i="5"/>
  <c r="I62" i="5"/>
  <c r="I40" i="5"/>
  <c r="I37" i="5"/>
  <c r="I36" i="5"/>
  <c r="I35" i="5"/>
  <c r="I34" i="5"/>
  <c r="I32" i="5"/>
  <c r="I31" i="5"/>
  <c r="I29" i="5"/>
  <c r="I28" i="5"/>
  <c r="I27" i="5"/>
  <c r="I26" i="5"/>
  <c r="I25" i="5"/>
  <c r="I24" i="5"/>
  <c r="I22" i="5"/>
  <c r="I21" i="5"/>
  <c r="I20" i="5"/>
  <c r="I18" i="5"/>
  <c r="I17" i="5"/>
  <c r="I16" i="5"/>
  <c r="I14" i="5"/>
  <c r="I13" i="5"/>
  <c r="I12" i="5"/>
  <c r="I11" i="5"/>
  <c r="I10" i="5"/>
  <c r="I8" i="5"/>
  <c r="I7" i="5"/>
  <c r="I6" i="5"/>
  <c r="I57" i="5"/>
  <c r="I56" i="5"/>
  <c r="I55" i="5"/>
  <c r="I54" i="5"/>
  <c r="I52" i="5"/>
  <c r="I51" i="5" s="1"/>
  <c r="I50" i="5"/>
  <c r="I49" i="5" s="1"/>
  <c r="I48" i="5"/>
  <c r="I47" i="5"/>
  <c r="I46" i="5"/>
  <c r="I45" i="5"/>
  <c r="I44" i="5"/>
  <c r="I43" i="5"/>
  <c r="I41" i="5"/>
  <c r="I61" i="5"/>
  <c r="I60" i="5"/>
  <c r="A7" i="3"/>
  <c r="B8" i="3"/>
  <c r="A9" i="3"/>
  <c r="B10" i="3"/>
  <c r="A11" i="3"/>
  <c r="B12" i="3"/>
  <c r="A13" i="3"/>
  <c r="B14" i="3"/>
  <c r="A15" i="3"/>
  <c r="B16" i="3"/>
  <c r="A17" i="3"/>
  <c r="B18" i="3"/>
  <c r="A19" i="3"/>
  <c r="B20" i="3"/>
  <c r="A21" i="3"/>
  <c r="B22" i="3"/>
  <c r="A23" i="3"/>
  <c r="B24" i="3"/>
  <c r="A25" i="3"/>
  <c r="B26" i="3"/>
  <c r="A27" i="3"/>
  <c r="B28" i="3"/>
  <c r="A29" i="3"/>
  <c r="B30" i="3"/>
  <c r="F68" i="5"/>
  <c r="F67" i="5"/>
  <c r="F66" i="5"/>
  <c r="F65" i="5"/>
  <c r="F64" i="5"/>
  <c r="F62" i="5"/>
  <c r="F61" i="5"/>
  <c r="F60" i="5"/>
  <c r="F59" i="5" s="1"/>
  <c r="F57" i="5"/>
  <c r="F56" i="5"/>
  <c r="F55" i="5"/>
  <c r="F54" i="5"/>
  <c r="F52" i="5"/>
  <c r="F51" i="5" s="1"/>
  <c r="F50" i="5"/>
  <c r="F49" i="5" s="1"/>
  <c r="F48" i="5"/>
  <c r="F47" i="5"/>
  <c r="F46" i="5"/>
  <c r="F45" i="5"/>
  <c r="F44" i="5"/>
  <c r="F43" i="5"/>
  <c r="F41" i="5"/>
  <c r="F37" i="5"/>
  <c r="F35" i="5"/>
  <c r="F31" i="5"/>
  <c r="F29" i="5"/>
  <c r="F27" i="5"/>
  <c r="F25" i="5"/>
  <c r="F21" i="5"/>
  <c r="F17" i="5"/>
  <c r="F13" i="5"/>
  <c r="F11" i="5"/>
  <c r="F7" i="5"/>
  <c r="F40" i="5"/>
  <c r="F39" i="5" s="1"/>
  <c r="F36" i="5"/>
  <c r="F34" i="5"/>
  <c r="F22" i="5"/>
  <c r="F20" i="5"/>
  <c r="F14" i="5"/>
  <c r="F12" i="5"/>
  <c r="F10" i="5"/>
  <c r="F32" i="5"/>
  <c r="F28" i="5"/>
  <c r="F26" i="5"/>
  <c r="F24" i="5"/>
  <c r="F18" i="5"/>
  <c r="F16" i="5"/>
  <c r="F8" i="5"/>
  <c r="F6" i="5"/>
  <c r="A31" i="3"/>
  <c r="B32" i="3"/>
  <c r="M108" i="5"/>
  <c r="M107" i="5"/>
  <c r="M105" i="5"/>
  <c r="M104" i="5"/>
  <c r="M103" i="5"/>
  <c r="M102" i="5"/>
  <c r="M101" i="5"/>
  <c r="M99" i="5"/>
  <c r="M98" i="5"/>
  <c r="M97" i="5"/>
  <c r="M96" i="5"/>
  <c r="M95" i="5"/>
  <c r="M94" i="5"/>
  <c r="M93" i="5"/>
  <c r="M88" i="5"/>
  <c r="M87" i="5"/>
  <c r="M85" i="5"/>
  <c r="M84" i="5"/>
  <c r="M83" i="5"/>
  <c r="M82" i="5"/>
  <c r="M81" i="5"/>
  <c r="M79" i="5"/>
  <c r="M78" i="5"/>
  <c r="M77" i="5"/>
  <c r="M76" i="5"/>
  <c r="M75" i="5"/>
  <c r="M74" i="5"/>
  <c r="M73" i="5"/>
  <c r="D11" i="4"/>
  <c r="F11" i="4"/>
  <c r="H11" i="4"/>
  <c r="J11" i="4"/>
  <c r="L11" i="4"/>
  <c r="N11" i="4"/>
  <c r="P11" i="4"/>
  <c r="D12" i="4"/>
  <c r="F12" i="4"/>
  <c r="H12" i="4"/>
  <c r="J12" i="4"/>
  <c r="L12" i="4"/>
  <c r="N12" i="4"/>
  <c r="P12" i="4"/>
  <c r="D13" i="4"/>
  <c r="F13" i="4"/>
  <c r="H13" i="4"/>
  <c r="J13" i="4"/>
  <c r="L13" i="4"/>
  <c r="N13" i="4"/>
  <c r="P13" i="4"/>
  <c r="D14" i="4"/>
  <c r="F14" i="4"/>
  <c r="H14" i="4"/>
  <c r="J14" i="4"/>
  <c r="L14" i="4"/>
  <c r="N14" i="4"/>
  <c r="P14" i="4"/>
  <c r="D15" i="4"/>
  <c r="F15" i="4"/>
  <c r="H15" i="4"/>
  <c r="J15" i="4"/>
  <c r="L15" i="4"/>
  <c r="N15" i="4"/>
  <c r="P15" i="4"/>
  <c r="D16" i="4"/>
  <c r="F16" i="4"/>
  <c r="H16" i="4"/>
  <c r="J16" i="4"/>
  <c r="L16" i="4"/>
  <c r="N16" i="4"/>
  <c r="P16" i="4"/>
  <c r="D17" i="4"/>
  <c r="F17" i="4"/>
  <c r="H17" i="4"/>
  <c r="J17" i="4"/>
  <c r="L17" i="4"/>
  <c r="N17" i="4"/>
  <c r="P17" i="4"/>
  <c r="D18" i="4"/>
  <c r="G18" i="4"/>
  <c r="K18" i="4"/>
  <c r="O18" i="4"/>
  <c r="E19" i="4"/>
  <c r="I19" i="4"/>
  <c r="M19" i="4"/>
  <c r="G20" i="4"/>
  <c r="K20" i="4"/>
  <c r="O20" i="4"/>
  <c r="E21" i="4"/>
  <c r="I21" i="4"/>
  <c r="M21" i="4"/>
  <c r="G22" i="4"/>
  <c r="K22" i="4"/>
  <c r="O22" i="4"/>
  <c r="E23" i="4"/>
  <c r="I23" i="4"/>
  <c r="M23" i="4"/>
  <c r="G24" i="4"/>
  <c r="K24" i="4"/>
  <c r="O24" i="4"/>
  <c r="E25" i="4"/>
  <c r="I25" i="4"/>
  <c r="M25" i="4"/>
  <c r="E27" i="4"/>
  <c r="I27" i="4"/>
  <c r="M27" i="4"/>
  <c r="G28" i="4"/>
  <c r="K28" i="4"/>
  <c r="O28" i="4"/>
  <c r="E29" i="4"/>
  <c r="I29" i="4"/>
  <c r="M29" i="4"/>
  <c r="G30" i="4"/>
  <c r="K30" i="4"/>
  <c r="O30" i="4"/>
  <c r="E31" i="4"/>
  <c r="I31" i="4"/>
  <c r="M31" i="4"/>
  <c r="G32" i="4"/>
  <c r="K32" i="4"/>
  <c r="O32" i="4"/>
  <c r="J4" i="5"/>
  <c r="L4" i="5"/>
  <c r="G38" i="5"/>
  <c r="K38" i="5"/>
  <c r="O38" i="5"/>
  <c r="I98" i="4" l="1"/>
  <c r="G62" i="4"/>
  <c r="O62" i="4"/>
  <c r="G36" i="4"/>
  <c r="O36" i="4"/>
  <c r="L91" i="5"/>
  <c r="L81" i="4" s="1"/>
  <c r="P71" i="5"/>
  <c r="P45" i="4" s="1"/>
  <c r="K62" i="4"/>
  <c r="K36" i="4"/>
  <c r="E98" i="4"/>
  <c r="M98" i="4"/>
  <c r="E62" i="4"/>
  <c r="M62" i="4"/>
  <c r="E36" i="4"/>
  <c r="M36" i="4"/>
  <c r="O98" i="4"/>
  <c r="O109" i="4" s="1"/>
  <c r="K91" i="5"/>
  <c r="K81" i="4" s="1"/>
  <c r="N58" i="5"/>
  <c r="H38" i="5"/>
  <c r="H3" i="5" s="1"/>
  <c r="H9" i="4" s="1"/>
  <c r="P58" i="5"/>
  <c r="K58" i="5"/>
  <c r="L71" i="5"/>
  <c r="L45" i="4" s="1"/>
  <c r="E69" i="4"/>
  <c r="I69" i="4"/>
  <c r="I42" i="4" s="1"/>
  <c r="I44" i="4" s="1"/>
  <c r="M69" i="4"/>
  <c r="H33" i="4"/>
  <c r="L33" i="4"/>
  <c r="P33" i="4"/>
  <c r="H36" i="4"/>
  <c r="L36" i="4"/>
  <c r="P36" i="4"/>
  <c r="J98" i="4"/>
  <c r="J105" i="4"/>
  <c r="H62" i="4"/>
  <c r="L62" i="4"/>
  <c r="P62" i="4"/>
  <c r="F69" i="4"/>
  <c r="J69" i="4"/>
  <c r="G91" i="5"/>
  <c r="G81" i="4" s="1"/>
  <c r="O58" i="5"/>
  <c r="H71" i="5"/>
  <c r="H45" i="4" s="1"/>
  <c r="O71" i="5"/>
  <c r="O45" i="4" s="1"/>
  <c r="J58" i="5"/>
  <c r="G71" i="5"/>
  <c r="G45" i="4" s="1"/>
  <c r="L58" i="5"/>
  <c r="J71" i="5"/>
  <c r="J45" i="4" s="1"/>
  <c r="E38" i="5"/>
  <c r="J38" i="5"/>
  <c r="L3" i="5"/>
  <c r="L9" i="4" s="1"/>
  <c r="N38" i="5"/>
  <c r="P38" i="5"/>
  <c r="O4" i="5"/>
  <c r="G4" i="5"/>
  <c r="G3" i="5" s="1"/>
  <c r="G9" i="4" s="1"/>
  <c r="F80" i="5"/>
  <c r="F100" i="5"/>
  <c r="I80" i="5"/>
  <c r="I100" i="5"/>
  <c r="I23" i="5"/>
  <c r="I30" i="5"/>
  <c r="I33" i="5"/>
  <c r="I63" i="5"/>
  <c r="H4" i="5"/>
  <c r="K4" i="5"/>
  <c r="K3" i="5" s="1"/>
  <c r="K9" i="4" s="1"/>
  <c r="E4" i="5"/>
  <c r="P4" i="5"/>
  <c r="N4" i="5"/>
  <c r="N3" i="5" s="1"/>
  <c r="N9" i="4" s="1"/>
  <c r="C84" i="4"/>
  <c r="C88" i="4"/>
  <c r="C92" i="4"/>
  <c r="C96" i="4"/>
  <c r="C100" i="4"/>
  <c r="I42" i="5"/>
  <c r="I53" i="5"/>
  <c r="I5" i="5"/>
  <c r="I15" i="5"/>
  <c r="M80" i="5"/>
  <c r="M100" i="5"/>
  <c r="F19" i="5"/>
  <c r="F33" i="5"/>
  <c r="F63" i="5"/>
  <c r="M59" i="5"/>
  <c r="M9" i="5"/>
  <c r="M19" i="5"/>
  <c r="I39" i="5"/>
  <c r="C75" i="5"/>
  <c r="C77" i="5"/>
  <c r="C79" i="5"/>
  <c r="C82" i="5"/>
  <c r="C84" i="5"/>
  <c r="C95" i="5"/>
  <c r="C97" i="5"/>
  <c r="C99" i="5"/>
  <c r="C102" i="5"/>
  <c r="C104" i="5"/>
  <c r="O105" i="4"/>
  <c r="E33" i="4"/>
  <c r="C17" i="4"/>
  <c r="C13" i="4"/>
  <c r="P26" i="4"/>
  <c r="H26" i="4"/>
  <c r="H6" i="4" s="1"/>
  <c r="H8" i="4" s="1"/>
  <c r="D92" i="5"/>
  <c r="C93" i="5"/>
  <c r="D106" i="5"/>
  <c r="C107" i="5"/>
  <c r="C22" i="4"/>
  <c r="D33" i="4"/>
  <c r="C27" i="4"/>
  <c r="C31" i="4"/>
  <c r="C49" i="4"/>
  <c r="C53" i="4"/>
  <c r="G105" i="4"/>
  <c r="K105" i="4"/>
  <c r="K109" i="4" s="1"/>
  <c r="C104" i="4"/>
  <c r="K33" i="4"/>
  <c r="O26" i="4"/>
  <c r="K26" i="4"/>
  <c r="G26" i="4"/>
  <c r="C6" i="5"/>
  <c r="D5" i="5"/>
  <c r="C16" i="5"/>
  <c r="D15" i="5"/>
  <c r="C24" i="5"/>
  <c r="D23" i="5"/>
  <c r="C28" i="5"/>
  <c r="C10" i="5"/>
  <c r="D9" i="5"/>
  <c r="C14" i="5"/>
  <c r="C22" i="5"/>
  <c r="C36" i="5"/>
  <c r="C7" i="5"/>
  <c r="C13" i="5"/>
  <c r="C21" i="5"/>
  <c r="C27" i="5"/>
  <c r="C31" i="5"/>
  <c r="D30" i="5"/>
  <c r="C37" i="5"/>
  <c r="D42" i="5"/>
  <c r="C43" i="5"/>
  <c r="C45" i="5"/>
  <c r="C47" i="5"/>
  <c r="D49" i="5"/>
  <c r="C49" i="5" s="1"/>
  <c r="C50" i="5"/>
  <c r="D53" i="5"/>
  <c r="C54" i="5"/>
  <c r="C56" i="5"/>
  <c r="D59" i="5"/>
  <c r="C60" i="5"/>
  <c r="C62" i="5"/>
  <c r="C65" i="5"/>
  <c r="C67" i="5"/>
  <c r="M33" i="4"/>
  <c r="C15" i="4"/>
  <c r="L26" i="4"/>
  <c r="D26" i="4"/>
  <c r="C11" i="4"/>
  <c r="D72" i="5"/>
  <c r="C73" i="5"/>
  <c r="D86" i="5"/>
  <c r="C87" i="5"/>
  <c r="C20" i="4"/>
  <c r="C24" i="4"/>
  <c r="C29" i="4"/>
  <c r="C34" i="4"/>
  <c r="D36" i="4"/>
  <c r="D62" i="4"/>
  <c r="C47" i="4"/>
  <c r="C51" i="4"/>
  <c r="C55" i="4"/>
  <c r="C57" i="4"/>
  <c r="C59" i="4"/>
  <c r="C61" i="4"/>
  <c r="N69" i="4"/>
  <c r="C64" i="4"/>
  <c r="C66" i="4"/>
  <c r="H98" i="4"/>
  <c r="P98" i="4"/>
  <c r="C85" i="4"/>
  <c r="C89" i="4"/>
  <c r="C93" i="4"/>
  <c r="C97" i="4"/>
  <c r="D105" i="4"/>
  <c r="C99" i="4"/>
  <c r="L105" i="4"/>
  <c r="G98" i="4"/>
  <c r="I33" i="4"/>
  <c r="C18" i="4"/>
  <c r="C16" i="4"/>
  <c r="C14" i="4"/>
  <c r="C12" i="4"/>
  <c r="N26" i="4"/>
  <c r="J26" i="4"/>
  <c r="F26" i="4"/>
  <c r="M72" i="5"/>
  <c r="M86" i="5"/>
  <c r="M92" i="5"/>
  <c r="M106" i="5"/>
  <c r="F5" i="5"/>
  <c r="F15" i="5"/>
  <c r="F23" i="5"/>
  <c r="F9" i="5"/>
  <c r="F30" i="5"/>
  <c r="F42" i="5"/>
  <c r="F53" i="5"/>
  <c r="F58" i="5"/>
  <c r="I59" i="5"/>
  <c r="I9" i="5"/>
  <c r="I19" i="5"/>
  <c r="C74" i="5"/>
  <c r="C76" i="5"/>
  <c r="C78" i="5"/>
  <c r="D80" i="5"/>
  <c r="C81" i="5"/>
  <c r="C83" i="5"/>
  <c r="C85" i="5"/>
  <c r="C88" i="5"/>
  <c r="C94" i="5"/>
  <c r="C96" i="5"/>
  <c r="C98" i="5"/>
  <c r="D100" i="5"/>
  <c r="C101" i="5"/>
  <c r="C103" i="5"/>
  <c r="C105" i="5"/>
  <c r="C108" i="5"/>
  <c r="C19" i="4"/>
  <c r="C21" i="4"/>
  <c r="C23" i="4"/>
  <c r="C25" i="4"/>
  <c r="F33" i="4"/>
  <c r="J33" i="4"/>
  <c r="N33" i="4"/>
  <c r="C28" i="4"/>
  <c r="C30" i="4"/>
  <c r="C32" i="4"/>
  <c r="F36" i="4"/>
  <c r="J36" i="4"/>
  <c r="J37" i="4" s="1"/>
  <c r="N36" i="4"/>
  <c r="C35" i="4"/>
  <c r="G69" i="4"/>
  <c r="G73" i="4" s="1"/>
  <c r="K69" i="4"/>
  <c r="K73" i="4" s="1"/>
  <c r="O69" i="4"/>
  <c r="O73" i="4" s="1"/>
  <c r="C68" i="4"/>
  <c r="D72" i="4"/>
  <c r="C70" i="4"/>
  <c r="F98" i="4"/>
  <c r="N98" i="4"/>
  <c r="C86" i="4"/>
  <c r="C90" i="4"/>
  <c r="C94" i="4"/>
  <c r="F105" i="4"/>
  <c r="N105" i="4"/>
  <c r="C102" i="4"/>
  <c r="F62" i="4"/>
  <c r="J62" i="4"/>
  <c r="N62" i="4"/>
  <c r="C48" i="4"/>
  <c r="C50" i="4"/>
  <c r="C52" i="4"/>
  <c r="C54" i="4"/>
  <c r="C56" i="4"/>
  <c r="C58" i="4"/>
  <c r="C60" i="4"/>
  <c r="D69" i="4"/>
  <c r="C63" i="4"/>
  <c r="H69" i="4"/>
  <c r="H73" i="4" s="1"/>
  <c r="L69" i="4"/>
  <c r="P69" i="4"/>
  <c r="P73" i="4" s="1"/>
  <c r="C65" i="4"/>
  <c r="C67" i="4"/>
  <c r="C83" i="4"/>
  <c r="D98" i="4"/>
  <c r="L98" i="4"/>
  <c r="C87" i="4"/>
  <c r="C91" i="4"/>
  <c r="C95" i="4"/>
  <c r="H105" i="4"/>
  <c r="P105" i="4"/>
  <c r="C101" i="4"/>
  <c r="E73" i="4"/>
  <c r="I73" i="4"/>
  <c r="E105" i="4"/>
  <c r="E109" i="4" s="1"/>
  <c r="I105" i="4"/>
  <c r="I109" i="4" s="1"/>
  <c r="M105" i="4"/>
  <c r="C103" i="4"/>
  <c r="D108" i="4"/>
  <c r="C106" i="4"/>
  <c r="O33" i="4"/>
  <c r="G33" i="4"/>
  <c r="M26" i="4"/>
  <c r="I26" i="4"/>
  <c r="E26" i="4"/>
  <c r="M42" i="5"/>
  <c r="M53" i="5"/>
  <c r="M5" i="5"/>
  <c r="M15" i="5"/>
  <c r="M23" i="5"/>
  <c r="M30" i="5"/>
  <c r="M33" i="5"/>
  <c r="M39" i="5"/>
  <c r="M63" i="5"/>
  <c r="M58" i="5" s="1"/>
  <c r="F72" i="5"/>
  <c r="F86" i="5"/>
  <c r="F92" i="5"/>
  <c r="F106" i="5"/>
  <c r="I72" i="5"/>
  <c r="I86" i="5"/>
  <c r="I92" i="5"/>
  <c r="I106" i="5"/>
  <c r="C8" i="5"/>
  <c r="C18" i="5"/>
  <c r="C26" i="5"/>
  <c r="C32" i="5"/>
  <c r="C12" i="5"/>
  <c r="C20" i="5"/>
  <c r="D19" i="5"/>
  <c r="C34" i="5"/>
  <c r="D33" i="5"/>
  <c r="C40" i="5"/>
  <c r="D39" i="5"/>
  <c r="C11" i="5"/>
  <c r="C17" i="5"/>
  <c r="C25" i="5"/>
  <c r="C29" i="5"/>
  <c r="C35" i="5"/>
  <c r="C41" i="5"/>
  <c r="C44" i="5"/>
  <c r="C46" i="5"/>
  <c r="C48" i="5"/>
  <c r="D51" i="5"/>
  <c r="C51" i="5" s="1"/>
  <c r="C52" i="5"/>
  <c r="C55" i="5"/>
  <c r="C57" i="5"/>
  <c r="C61" i="5"/>
  <c r="D63" i="5"/>
  <c r="C64" i="5"/>
  <c r="C66" i="5"/>
  <c r="C68" i="5"/>
  <c r="O78" i="4" l="1"/>
  <c r="O80" i="4" s="1"/>
  <c r="O82" i="4" s="1"/>
  <c r="M42" i="4"/>
  <c r="M44" i="4" s="1"/>
  <c r="M73" i="4"/>
  <c r="E42" i="4"/>
  <c r="E44" i="4" s="1"/>
  <c r="E46" i="4" s="1"/>
  <c r="N73" i="4"/>
  <c r="M6" i="4"/>
  <c r="M8" i="4" s="1"/>
  <c r="F37" i="4"/>
  <c r="O37" i="4"/>
  <c r="N37" i="4"/>
  <c r="K6" i="4"/>
  <c r="K8" i="4" s="1"/>
  <c r="M109" i="4"/>
  <c r="C63" i="5"/>
  <c r="I58" i="5"/>
  <c r="P3" i="5"/>
  <c r="P9" i="4" s="1"/>
  <c r="C100" i="5"/>
  <c r="E19" i="1" s="1"/>
  <c r="K10" i="4"/>
  <c r="H10" i="4"/>
  <c r="J73" i="4"/>
  <c r="E6" i="4"/>
  <c r="E8" i="4" s="1"/>
  <c r="J42" i="4"/>
  <c r="J44" i="4" s="1"/>
  <c r="J46" i="4" s="1"/>
  <c r="J109" i="4"/>
  <c r="L37" i="4"/>
  <c r="H109" i="4"/>
  <c r="L78" i="4"/>
  <c r="L80" i="4" s="1"/>
  <c r="L82" i="4" s="1"/>
  <c r="F42" i="4"/>
  <c r="F44" i="4" s="1"/>
  <c r="G109" i="4"/>
  <c r="L6" i="4"/>
  <c r="L8" i="4" s="1"/>
  <c r="L10" i="4" s="1"/>
  <c r="P6" i="4"/>
  <c r="P8" i="4" s="1"/>
  <c r="G37" i="4"/>
  <c r="L109" i="4"/>
  <c r="L42" i="4"/>
  <c r="L44" i="4" s="1"/>
  <c r="L46" i="4" s="1"/>
  <c r="P109" i="4"/>
  <c r="J78" i="4"/>
  <c r="J80" i="4" s="1"/>
  <c r="J82" i="4" s="1"/>
  <c r="F109" i="4"/>
  <c r="O3" i="5"/>
  <c r="O9" i="4" s="1"/>
  <c r="J3" i="5"/>
  <c r="J9" i="4" s="1"/>
  <c r="C80" i="5"/>
  <c r="D19" i="1" s="1"/>
  <c r="E3" i="5"/>
  <c r="E9" i="4" s="1"/>
  <c r="I91" i="5"/>
  <c r="I81" i="4" s="1"/>
  <c r="I71" i="5"/>
  <c r="I45" i="4" s="1"/>
  <c r="I46" i="4" s="1"/>
  <c r="F91" i="5"/>
  <c r="F81" i="4" s="1"/>
  <c r="F71" i="5"/>
  <c r="F45" i="4" s="1"/>
  <c r="M91" i="5"/>
  <c r="M81" i="4" s="1"/>
  <c r="C39" i="5"/>
  <c r="C33" i="5"/>
  <c r="C19" i="5"/>
  <c r="I4" i="5"/>
  <c r="P10" i="4"/>
  <c r="I38" i="5"/>
  <c r="G78" i="4"/>
  <c r="G80" i="4" s="1"/>
  <c r="G82" i="4" s="1"/>
  <c r="H37" i="4"/>
  <c r="M71" i="5"/>
  <c r="M45" i="4" s="1"/>
  <c r="M46" i="4" s="1"/>
  <c r="M78" i="4"/>
  <c r="M80" i="4" s="1"/>
  <c r="N78" i="4"/>
  <c r="N80" i="4" s="1"/>
  <c r="N82" i="4" s="1"/>
  <c r="K42" i="4"/>
  <c r="K44" i="4" s="1"/>
  <c r="K46" i="4" s="1"/>
  <c r="P42" i="4"/>
  <c r="P44" i="4" s="1"/>
  <c r="P46" i="4" s="1"/>
  <c r="E78" i="4"/>
  <c r="E80" i="4" s="1"/>
  <c r="E82" i="4" s="1"/>
  <c r="N109" i="4"/>
  <c r="I37" i="4"/>
  <c r="M37" i="4"/>
  <c r="K37" i="4"/>
  <c r="P37" i="4"/>
  <c r="C98" i="4"/>
  <c r="E15" i="1" s="1"/>
  <c r="D78" i="4"/>
  <c r="L73" i="4"/>
  <c r="D73" i="4"/>
  <c r="C72" i="4"/>
  <c r="F4" i="5"/>
  <c r="J6" i="4"/>
  <c r="J8" i="4" s="1"/>
  <c r="P78" i="4"/>
  <c r="P80" i="4" s="1"/>
  <c r="P82" i="4" s="1"/>
  <c r="C62" i="4"/>
  <c r="D15" i="1" s="1"/>
  <c r="D42" i="4"/>
  <c r="E37" i="4"/>
  <c r="C53" i="5"/>
  <c r="C42" i="5"/>
  <c r="D38" i="5"/>
  <c r="C30" i="5"/>
  <c r="C23" i="5"/>
  <c r="C15" i="5"/>
  <c r="C5" i="5"/>
  <c r="D4" i="5"/>
  <c r="C33" i="4"/>
  <c r="C16" i="1" s="1"/>
  <c r="M4" i="5"/>
  <c r="M38" i="5"/>
  <c r="I6" i="4"/>
  <c r="I8" i="4" s="1"/>
  <c r="C108" i="4"/>
  <c r="E27" i="1" s="1"/>
  <c r="D109" i="4"/>
  <c r="I78" i="4"/>
  <c r="I80" i="4" s="1"/>
  <c r="C69" i="4"/>
  <c r="D16" i="1" s="1"/>
  <c r="N42" i="4"/>
  <c r="N44" i="4" s="1"/>
  <c r="N46" i="4" s="1"/>
  <c r="F78" i="4"/>
  <c r="F80" i="4" s="1"/>
  <c r="F82" i="4" s="1"/>
  <c r="O42" i="4"/>
  <c r="O44" i="4" s="1"/>
  <c r="O46" i="4" s="1"/>
  <c r="G42" i="4"/>
  <c r="G44" i="4" s="1"/>
  <c r="G46" i="4" s="1"/>
  <c r="F38" i="5"/>
  <c r="F6" i="4"/>
  <c r="F8" i="4" s="1"/>
  <c r="N6" i="4"/>
  <c r="N8" i="4" s="1"/>
  <c r="N10" i="4" s="1"/>
  <c r="K78" i="4"/>
  <c r="K80" i="4" s="1"/>
  <c r="K82" i="4" s="1"/>
  <c r="C105" i="4"/>
  <c r="E16" i="1" s="1"/>
  <c r="H78" i="4"/>
  <c r="H80" i="4" s="1"/>
  <c r="H82" i="4" s="1"/>
  <c r="F73" i="4"/>
  <c r="C36" i="4"/>
  <c r="D37" i="4"/>
  <c r="C86" i="5"/>
  <c r="D28" i="1" s="1"/>
  <c r="D71" i="5"/>
  <c r="C72" i="5"/>
  <c r="D18" i="1" s="1"/>
  <c r="D17" i="1" s="1"/>
  <c r="C26" i="4"/>
  <c r="C15" i="1" s="1"/>
  <c r="C14" i="1" s="1"/>
  <c r="D6" i="4"/>
  <c r="D58" i="5"/>
  <c r="C59" i="5"/>
  <c r="C9" i="5"/>
  <c r="G6" i="4"/>
  <c r="G8" i="4" s="1"/>
  <c r="G10" i="4" s="1"/>
  <c r="O6" i="4"/>
  <c r="O8" i="4" s="1"/>
  <c r="O10" i="4" s="1"/>
  <c r="H42" i="4"/>
  <c r="H44" i="4" s="1"/>
  <c r="H46" i="4" s="1"/>
  <c r="C106" i="5"/>
  <c r="E28" i="1" s="1"/>
  <c r="D91" i="5"/>
  <c r="C92" i="5"/>
  <c r="E18" i="1" s="1"/>
  <c r="C58" i="5" l="1"/>
  <c r="C28" i="1" s="1"/>
  <c r="E17" i="1"/>
  <c r="E10" i="4"/>
  <c r="C109" i="4"/>
  <c r="F46" i="4"/>
  <c r="C37" i="4"/>
  <c r="I82" i="4"/>
  <c r="J10" i="4"/>
  <c r="M82" i="4"/>
  <c r="I3" i="5"/>
  <c r="I9" i="4" s="1"/>
  <c r="I10" i="4" s="1"/>
  <c r="M3" i="5"/>
  <c r="M9" i="4" s="1"/>
  <c r="M10" i="4" s="1"/>
  <c r="C4" i="5"/>
  <c r="C18" i="1" s="1"/>
  <c r="D3" i="5"/>
  <c r="D14" i="1"/>
  <c r="D20" i="1" s="1"/>
  <c r="C27" i="1"/>
  <c r="C29" i="1" s="1"/>
  <c r="D27" i="1"/>
  <c r="D29" i="1" s="1"/>
  <c r="E14" i="1"/>
  <c r="C71" i="5"/>
  <c r="D45" i="4"/>
  <c r="C45" i="4" s="1"/>
  <c r="C91" i="5"/>
  <c r="D81" i="4"/>
  <c r="C81" i="4" s="1"/>
  <c r="D8" i="4"/>
  <c r="C6" i="4"/>
  <c r="E29" i="1"/>
  <c r="C38" i="5"/>
  <c r="C19" i="1" s="1"/>
  <c r="D44" i="4"/>
  <c r="C42" i="4"/>
  <c r="F3" i="5"/>
  <c r="F9" i="4" s="1"/>
  <c r="F10" i="4" s="1"/>
  <c r="C73" i="4"/>
  <c r="D80" i="4"/>
  <c r="C78" i="4"/>
  <c r="E20" i="1" l="1"/>
  <c r="E31" i="1" s="1"/>
  <c r="C80" i="4"/>
  <c r="D82" i="4"/>
  <c r="C82" i="4" s="1"/>
  <c r="D46" i="4"/>
  <c r="C46" i="4" s="1"/>
  <c r="C44" i="4"/>
  <c r="C3" i="5"/>
  <c r="D9" i="4"/>
  <c r="C9" i="4" s="1"/>
  <c r="C8" i="4"/>
  <c r="D31" i="1"/>
  <c r="C17" i="1"/>
  <c r="C20" i="1" s="1"/>
  <c r="C31" i="1" s="1"/>
  <c r="D10" i="4" l="1"/>
  <c r="C10" i="4" s="1"/>
</calcChain>
</file>

<file path=xl/sharedStrings.xml><?xml version="1.0" encoding="utf-8"?>
<sst xmlns="http://schemas.openxmlformats.org/spreadsheetml/2006/main" count="3252" uniqueCount="1670">
  <si>
    <t>RKP-NAZIV PRORAČUNSKOG KORISNIKA</t>
  </si>
  <si>
    <t>3009 INSTITUT ZA MIGRACIJE I NARODNOSTI</t>
  </si>
  <si>
    <t>MJESTO I DATUM</t>
  </si>
  <si>
    <t>OSOBA ZA KONTAKTIRANJE</t>
  </si>
  <si>
    <t>R.
BR.</t>
  </si>
  <si>
    <t>RKPNaziv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</si>
  <si>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</si>
  <si>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</si>
  <si>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</si>
  <si>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</si>
  <si>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</si>
  <si>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</si>
  <si>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</si>
  <si>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Tip</t>
  </si>
  <si>
    <t>Glava</t>
  </si>
  <si>
    <t>TELEFON ZA KONTAKT</t>
  </si>
  <si>
    <t>odaberite -</t>
  </si>
  <si>
    <t>-</t>
  </si>
  <si>
    <t>E-MAIL ZA KONTAKT</t>
  </si>
  <si>
    <t>SVEUČILIŠTE J.J STROSSMAYERA U OSIJEKU</t>
  </si>
  <si>
    <t>TRG SV. TROJSTVA 3</t>
  </si>
  <si>
    <t>31000 OSIJEK</t>
  </si>
  <si>
    <t>78808975734</t>
  </si>
  <si>
    <t>Sveučilišta i veleučilišta u Republici Hrvatskoj</t>
  </si>
  <si>
    <t>08006</t>
  </si>
  <si>
    <t>SVEUČILIŠTE J.J STROSSMAYERA U OSIJEKU - EKONOMSKI FAKULTET</t>
  </si>
  <si>
    <t>TRG LJUDEVITA GAJA 7</t>
  </si>
  <si>
    <t>52778515544</t>
  </si>
  <si>
    <t>PRIJEDLOG FINANCIJSKOG PLANA ZA 2020. I PROJEKCIJA PLANA ZA 2021. I 2022. GODINU</t>
  </si>
  <si>
    <t xml:space="preserve">SVEUČILIŠTE J.J.STROSSMAYERA U OSIJEKU - ELEKTROTEHNIČKI FAKULTET </t>
  </si>
  <si>
    <t>KNEZA TRPIMIRA 2 B</t>
  </si>
  <si>
    <t>95494259952</t>
  </si>
  <si>
    <t>OPĆI DIO</t>
  </si>
  <si>
    <t>SVEUČILIŠTE J.J STROSSMAYERA U OSIJEKU - FILOZOFSKI FAKULTET</t>
  </si>
  <si>
    <t>LORENZA JAGERA 9</t>
  </si>
  <si>
    <t>58868871646</t>
  </si>
  <si>
    <t>SVEUČILIŠTE J.J.STROSSMAYERA U OSIJEKU - GRADSKA I SVEUČILIŠNA KNJIŽNICA</t>
  </si>
  <si>
    <t>EUROPSKA AVENIJA 24</t>
  </si>
  <si>
    <t>46627536930</t>
  </si>
  <si>
    <t>SVEUČILIŠTE J.J STROSSMAYERA U OSIJEKU - GRAĐEVINSKI FAKULTET</t>
  </si>
  <si>
    <t xml:space="preserve">DRINSKA 16 A </t>
  </si>
  <si>
    <t>04150850819</t>
  </si>
  <si>
    <t>Prijedlog plana 
za 2020.</t>
  </si>
  <si>
    <t>Projekcija plana
za 2021.</t>
  </si>
  <si>
    <t>Projekcija plana 
za 2022.</t>
  </si>
  <si>
    <t>SVEUČILIŠTE J.J STROSSMAYERA U OSIJEKU - MEDICINSKI FAKULTET</t>
  </si>
  <si>
    <t>HUTTLEROVA 4</t>
  </si>
  <si>
    <t>16214165873</t>
  </si>
  <si>
    <t>PRIHODI UKUPNO</t>
  </si>
  <si>
    <t>SVEUČILIŠTE J.J STROSSMAYERA U OSIJEKU - POLJOPRIVREDNI FAKULTET</t>
  </si>
  <si>
    <t>VLADIMIRA PRELOGA 1</t>
  </si>
  <si>
    <t>98816779821</t>
  </si>
  <si>
    <t>PRIHODI POSLOVANJA</t>
  </si>
  <si>
    <t>SVEUČILIŠTE J.J STROSSMAYERA U OSIJEKU - PRAVNI FAKULTET</t>
  </si>
  <si>
    <t>STJEPANA RADIĆA 13</t>
  </si>
  <si>
    <t xml:space="preserve"> 31000 OSIJEK</t>
  </si>
  <si>
    <t>26416570803</t>
  </si>
  <si>
    <t>PRIHODI OD NEFINANCIJSKE IMOVINE</t>
  </si>
  <si>
    <t>SVEUČILIŠTE J.J STROSSMAYERA U OSIJEKU - PREHRAMBENO TEHNOLOŠKI FAKULTET</t>
  </si>
  <si>
    <t>FRANJE KUHAČA 20</t>
  </si>
  <si>
    <t>96371000697</t>
  </si>
  <si>
    <t>RASHODI UKUPNO</t>
  </si>
  <si>
    <t>SVEUČILIŠTE J.J STROSSMAYERA U OSIJEKU - STROJARSKI FAKULTET U SLAVONSKOME BRODU</t>
  </si>
  <si>
    <t>TRG IVANE BRLIĆ MAŽURANIĆ 2</t>
  </si>
  <si>
    <t>35000 SLAVONSKI BROD</t>
  </si>
  <si>
    <t>65410788616</t>
  </si>
  <si>
    <t>RASHODI  POSLOVANJA</t>
  </si>
  <si>
    <t>SVEUČILIŠTE J.J STROSSMAYERA U OSIJEKU - FAKULTET ZA ODGOJNE I OBRAZOVNE ZNANOSTI</t>
  </si>
  <si>
    <t>CARA HADRIJANA 10</t>
  </si>
  <si>
    <t>28082679513</t>
  </si>
  <si>
    <t>RASHODI ZA NEFINANCIJSKU IMOVINU</t>
  </si>
  <si>
    <t>SVEUČILIŠTE J.J.STROSSMAYERA U OSIJEKU - KATOLIČKI BOGOSLOVNI FAKULTET U ĐAKOVU</t>
  </si>
  <si>
    <t xml:space="preserve">PETRA PRERADOVIĆA 17 </t>
  </si>
  <si>
    <t>31400 ĐAKOVO</t>
  </si>
  <si>
    <t>05384220316</t>
  </si>
  <si>
    <t>RAZLIKA - VIŠAK / MANJAK</t>
  </si>
  <si>
    <t>SVEUČILIŠTE J.J.STROSSMAYERA U OSIJEKU - FAKULTET ZA DENTALNU MEDICINU I ZDRAVSTVO</t>
  </si>
  <si>
    <t>CRKVENA 21</t>
  </si>
  <si>
    <t>83830458507</t>
  </si>
  <si>
    <t>SVEUČILIŠTE J.J.STROSSMAYERA U OSIJEKU - AKADEMIJA ZA UMJETNOST I KULTURU U OSIJEKU</t>
  </si>
  <si>
    <t>KRALJA PETRA SVAČIĆA 1/F</t>
  </si>
  <si>
    <t>SVEUČILIŠTE JURJA DOBRILE U PULI</t>
  </si>
  <si>
    <t>ZAGREBAČKA 30</t>
  </si>
  <si>
    <t>52100 PULA</t>
  </si>
  <si>
    <t>61738073226</t>
  </si>
  <si>
    <t>DONOS</t>
  </si>
  <si>
    <t>Ukupan donos neutrošenih prihoda iz prethodne/ih godina</t>
  </si>
  <si>
    <t>SVEUČILIŠTE SJEVER</t>
  </si>
  <si>
    <t>TRG dr. ŽARKA DOLINARA 1</t>
  </si>
  <si>
    <t>48000 KOPRIVNICA</t>
  </si>
  <si>
    <t>59624928052</t>
  </si>
  <si>
    <t>ODNOS</t>
  </si>
  <si>
    <t>Ukupan odnos neutrošenih prihoda u sljedeću godinu</t>
  </si>
  <si>
    <t>SVEUČILIŠTE U DUBROVNIKU</t>
  </si>
  <si>
    <t>BRANITELJA DUBROVNIKA 29</t>
  </si>
  <si>
    <t>20000 DUBROVNIK</t>
  </si>
  <si>
    <t>01338491514</t>
  </si>
  <si>
    <t>SVEUČILIŠTE U ZADRU</t>
  </si>
  <si>
    <t>UL.M.PAVLINOVIĆA BB.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</si>
  <si>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</si>
  <si>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</si>
  <si>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</si>
  <si>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</si>
  <si>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</si>
  <si>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</si>
  <si>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PRIMICI OD FINANCIJSKE IMOVINE I ZADUŽIVANJA</t>
  </si>
  <si>
    <t>SVEUČILIŠTE U RIJECI - AKADEMIJA PRIMJENJENIH UMJETNOSTI</t>
  </si>
  <si>
    <t>SLAVKA KRAUTZEKA 83</t>
  </si>
  <si>
    <t>55704161999</t>
  </si>
  <si>
    <t>IZDACI ZA FINANCIJSKU IMOVINU I OTPLATE ZAJMOVA</t>
  </si>
  <si>
    <t>SVEUČILIŠTE U RIJECI - EKONOMSKI FAKULTET</t>
  </si>
  <si>
    <t>IVANA FILIPOVIĆA 4</t>
  </si>
  <si>
    <t>26093119930</t>
  </si>
  <si>
    <t>NETO FINANCIRANJE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</si>
  <si>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</si>
  <si>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</si>
  <si>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</si>
  <si>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</si>
  <si>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</si>
  <si>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</si>
  <si>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</si>
  <si>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VIŠAK / MANJAK + DONOS + ODNOS + NETO FINANCIRANJE</t>
  </si>
  <si>
    <t>SVEUČILIŠTE U RIJECI - GRAĐEVINSKI FAKULTET U RIJECI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</si>
  <si>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</si>
  <si>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</si>
  <si>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</si>
  <si>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</si>
  <si>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</si>
  <si>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</si>
  <si>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</si>
  <si>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</si>
  <si>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</si>
  <si>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</si>
  <si>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</si>
  <si>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</si>
  <si>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</si>
  <si>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</si>
  <si>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</si>
  <si>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</si>
  <si>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</si>
  <si>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</si>
  <si>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</si>
  <si>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</si>
  <si>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</si>
  <si>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</si>
  <si>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</si>
  <si>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</si>
  <si>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</si>
  <si>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LIVANJSKA 5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</si>
  <si>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</si>
  <si>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</si>
  <si>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</si>
  <si>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</si>
  <si>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</si>
  <si>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</si>
  <si>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</si>
  <si>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</si>
  <si>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</si>
  <si>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</si>
  <si>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</si>
  <si>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</si>
  <si>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</si>
  <si>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</si>
  <si>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</si>
  <si>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TESLINA 10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</si>
  <si>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</si>
  <si>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</si>
  <si>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</si>
  <si>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</si>
  <si>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</si>
  <si>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</si>
  <si>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</si>
  <si>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</si>
  <si>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</si>
  <si>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</si>
  <si>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ZRINSKO-FRANKOPANSKA 38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</si>
  <si>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</si>
  <si>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</si>
  <si>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</si>
  <si>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</si>
  <si>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</si>
  <si>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NIKOLE TESLE 12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</si>
  <si>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</si>
  <si>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</si>
  <si>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</si>
  <si>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</si>
  <si>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</si>
  <si>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</si>
  <si>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</si>
  <si>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</si>
  <si>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TRG MARŠALA TITA 14</t>
  </si>
  <si>
    <t>10000 ZAGREB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</si>
  <si>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</si>
  <si>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</si>
  <si>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</si>
  <si>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</si>
  <si>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</si>
  <si>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</si>
  <si>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</si>
  <si>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</si>
  <si>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</si>
  <si>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</si>
  <si>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</si>
  <si>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</si>
  <si>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</si>
  <si>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</si>
  <si>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</si>
  <si>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</si>
  <si>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</si>
  <si>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TRG J.F.KENNEDEYA 6</t>
  </si>
  <si>
    <t>27208467122</t>
  </si>
  <si>
    <t>SVEUČILIŠTE U ZAGREBU - FAKULTET ELEKTROTEHNIKE I RAČUNARSTVA</t>
  </si>
  <si>
    <t>UNSKA 3</t>
  </si>
  <si>
    <t>57029260362</t>
  </si>
  <si>
    <t>SVEUČILIŠTA U ZAGREBU - FAKULTET FILOZOFIJE I RELIGIJSKIH ZNANOSTI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</si>
  <si>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</si>
  <si>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</si>
  <si>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</si>
  <si>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</si>
  <si>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</si>
  <si>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</si>
  <si>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</si>
  <si>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</si>
  <si>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</si>
  <si>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</si>
  <si>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</si>
  <si>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</si>
  <si>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</si>
  <si>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</si>
  <si>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</si>
  <si>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</si>
  <si>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</si>
  <si>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</si>
  <si>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</si>
  <si>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</si>
  <si>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</si>
  <si>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</si>
  <si>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</si>
  <si>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A.KAČIĆA-MIOŠIĆA 26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</si>
  <si>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</si>
  <si>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</si>
  <si>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</si>
  <si>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</si>
  <si>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</si>
  <si>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</si>
  <si>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</si>
  <si>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</si>
  <si>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</si>
  <si>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</si>
  <si>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</si>
  <si>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</si>
  <si>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</si>
  <si>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</si>
  <si>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</si>
  <si>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</si>
  <si>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</si>
  <si>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</si>
  <si>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</si>
  <si>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44103 SISAK</t>
  </si>
  <si>
    <t>48006703414</t>
  </si>
  <si>
    <t>SVEUČILIŠTE U ZAGREBU - MUZIČKA AKADEMIJA</t>
  </si>
  <si>
    <t>GUNDULIĆEVA 6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</si>
  <si>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</si>
  <si>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</si>
  <si>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</si>
  <si>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</si>
  <si>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</si>
  <si>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PIEROTTJEVA 6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</si>
  <si>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</si>
  <si>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</si>
  <si>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</si>
  <si>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</si>
  <si>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</si>
  <si>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</si>
  <si>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</si>
  <si>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</si>
  <si>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</si>
  <si>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</si>
  <si>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SVEUČILIŠTE U ZAGREBU - ŠUMARSKI FAKULTET</t>
  </si>
  <si>
    <t>SVETOŠIMUNSKA C.25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</si>
  <si>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</si>
  <si>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</si>
  <si>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</si>
  <si>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</si>
  <si>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</si>
  <si>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</si>
  <si>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</si>
  <si>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</si>
  <si>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</si>
  <si>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</si>
  <si>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</si>
  <si>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</si>
  <si>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</si>
  <si>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</si>
  <si>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</si>
  <si>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</si>
  <si>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</si>
  <si>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</si>
  <si>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</si>
  <si>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</si>
  <si>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</si>
  <si>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</si>
  <si>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</si>
  <si>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</si>
  <si>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</si>
  <si>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</si>
  <si>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</si>
  <si>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</si>
  <si>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</si>
  <si>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</si>
  <si>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</si>
  <si>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</si>
  <si>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</si>
  <si>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</si>
  <si>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</si>
  <si>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</si>
  <si>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</si>
  <si>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</si>
  <si>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</si>
  <si>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</si>
  <si>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</si>
  <si>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</si>
  <si>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</si>
  <si>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</si>
  <si>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SLAVONSKOM BRODU</t>
  </si>
  <si>
    <t>DR. MILE BUDAKA 1</t>
  </si>
  <si>
    <t>06972269479</t>
  </si>
  <si>
    <t>VELEUČILIŠTE U ŠIBENIKU</t>
  </si>
  <si>
    <t>TRG A. HEBRANGA BR. 11</t>
  </si>
  <si>
    <t>22000 ŠIBENIK</t>
  </si>
  <si>
    <t>61727512157</t>
  </si>
  <si>
    <t>14.</t>
  </si>
  <si>
    <t>VELEUČILIŠTE HRVATSKO ZAGORJE</t>
  </si>
  <si>
    <t>VISOKA ŠKOLA ZA MENEDŽMENT U TURIZMU I INFORMATICI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</si>
  <si>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</si>
  <si>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</si>
  <si>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</si>
  <si>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</si>
  <si>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</si>
  <si>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</si>
  <si>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</si>
  <si>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</si>
  <si>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</si>
  <si>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</si>
  <si>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EKONOMSKI INSTITUT ZAGREB</t>
  </si>
  <si>
    <t>TRG JOHNA KENNEDYA 7</t>
  </si>
  <si>
    <t>70925432731</t>
  </si>
  <si>
    <t>Javni instituti</t>
  </si>
  <si>
    <t>08008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</si>
  <si>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</si>
  <si>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</si>
  <si>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</si>
  <si>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</si>
  <si>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</si>
  <si>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</si>
  <si>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</si>
  <si>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</si>
  <si>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</si>
  <si>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</si>
  <si>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</si>
  <si>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</si>
  <si>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</si>
  <si>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</si>
  <si>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</si>
  <si>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</si>
  <si>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</si>
  <si>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</si>
  <si>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</si>
  <si>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</si>
  <si>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</si>
  <si>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</si>
  <si>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</si>
  <si>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</si>
  <si>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UL.GRADA VUKOVARA 54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</si>
  <si>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</si>
  <si>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</si>
  <si>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</si>
  <si>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</si>
  <si>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</si>
  <si>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</si>
  <si>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</si>
  <si>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</si>
  <si>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</si>
  <si>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</si>
  <si>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</si>
  <si>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</si>
  <si>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</si>
  <si>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</si>
  <si>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</si>
  <si>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</si>
  <si>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</si>
  <si>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</si>
  <si>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</si>
  <si>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LJ.F. VUKOTINOVIĆA 2</t>
  </si>
  <si>
    <t>31120185175</t>
  </si>
  <si>
    <t>INSTITUT ZA MIGRACIJE I NARODNOSTI</t>
  </si>
  <si>
    <t>TRG STJEPANA RADIĆA 3</t>
  </si>
  <si>
    <t>80265403319</t>
  </si>
  <si>
    <t>INSTITUT ZA OCEANOGRAFIJU I RIBARSTVO</t>
  </si>
  <si>
    <t>ŠETALIŠTE I.MEŠTROVIĆA 63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</si>
  <si>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</si>
  <si>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</si>
  <si>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</si>
  <si>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</si>
  <si>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</si>
  <si>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</si>
  <si>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</si>
  <si>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</si>
  <si>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</si>
  <si>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</si>
  <si>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</si>
  <si>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</si>
  <si>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</si>
  <si>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</si>
  <si>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</si>
  <si>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</si>
  <si>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</si>
  <si>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</si>
  <si>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Poljoprivredni institut, Osijek</t>
  </si>
  <si>
    <t>DRŽAVNI ZAVOD ZA INTELEKTUALNO VLASNIŠTVO</t>
  </si>
  <si>
    <t>ULICA GRADA VUKOVARA 78</t>
  </si>
  <si>
    <t>89755384389</t>
  </si>
  <si>
    <t>Agencije</t>
  </si>
  <si>
    <t>08091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</si>
  <si>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</si>
  <si>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</si>
  <si>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</si>
  <si>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</si>
  <si>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</si>
  <si>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</si>
  <si>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</si>
  <si>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</si>
  <si>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</si>
  <si>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</si>
  <si>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</si>
  <si>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</si>
  <si>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DONJE SVETICE 38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</si>
  <si>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</si>
  <si>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</si>
  <si>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</si>
  <si>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</si>
  <si>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</si>
  <si>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PETRAČIĆEVA 4</t>
  </si>
  <si>
    <t>94833993984</t>
  </si>
  <si>
    <t>AGENCIJA ZA MOBILNOST I PROGRAME EUROPSKE UNIJE</t>
  </si>
  <si>
    <t>25385906011</t>
  </si>
  <si>
    <t>AGENCIJA ZA STRUKOVNO OBRAZOVANJE I OBRAZOVANJE ODRASLIH</t>
  </si>
  <si>
    <t>RADNIČKA CESTA 37B</t>
  </si>
  <si>
    <t>40719411729</t>
  </si>
  <si>
    <t>Plan za unos u SAP - prihodi</t>
  </si>
  <si>
    <t>GLAVA</t>
  </si>
  <si>
    <t>OPIS GLAVE</t>
  </si>
  <si>
    <t>IZVOR</t>
  </si>
  <si>
    <t>OPIS IZVORA</t>
  </si>
  <si>
    <t>Stavka
(odaberite)</t>
  </si>
  <si>
    <t>OPIS STAVKE</t>
  </si>
  <si>
    <t>left3</t>
  </si>
  <si>
    <t>left2</t>
  </si>
  <si>
    <t>671 - izvor 11</t>
  </si>
  <si>
    <t>glava za visoko 6</t>
  </si>
  <si>
    <t>671 - izvor 12</t>
  </si>
  <si>
    <t>Konto</t>
  </si>
  <si>
    <t>opis konta</t>
  </si>
  <si>
    <t>izvor</t>
  </si>
  <si>
    <t>3 konto</t>
  </si>
  <si>
    <t>Opći prihodi i primici</t>
  </si>
  <si>
    <t>Prihodi iz nadležnog proračuna za financiranje redovne djelatnosti proračunskih korisnika</t>
  </si>
  <si>
    <t>Sredstva učešća za pomoći</t>
  </si>
  <si>
    <t>Vlastiti prihodi</t>
  </si>
  <si>
    <t>Pomoći proračunskim korisnicima iz proračuna koji im nije nadležan</t>
  </si>
  <si>
    <t>Ostale pomoći</t>
  </si>
  <si>
    <t>Ostali prihodi za posebne namjene</t>
  </si>
  <si>
    <t xml:space="preserve">Upravne i administrativne pristojbe </t>
  </si>
  <si>
    <t>Pomoći EU</t>
  </si>
  <si>
    <t>Tekuće pomoći od ostalih subjekata unutar općeg proračuna</t>
  </si>
  <si>
    <t>Kapitalne pomoći od ostalih subjekata unutar općeg proračuna</t>
  </si>
  <si>
    <t>Donacije</t>
  </si>
  <si>
    <t>Tekuće pomoći temeljem prijenosa EU sredstava</t>
  </si>
  <si>
    <t>Prihodi od nefin. imovine i nadoknade štete s osnova osig.</t>
  </si>
  <si>
    <t>Kapitalne pomoći temeljem prijenosa EU sredstava​</t>
  </si>
  <si>
    <t>Namjenski primici od zaduživanja</t>
  </si>
  <si>
    <t>Tekuće pomoći proračunskim korisnicima iz proračuna koji im nije nadležan</t>
  </si>
  <si>
    <t>Europski socijalni fond (ESF)</t>
  </si>
  <si>
    <t>Kapitalne pomoći proračunskim korisnicima iz proračuna koji im nije nadležan</t>
  </si>
  <si>
    <t>Europski fond za regionalni razvoj (ERDF)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</si>
  <si>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</si>
  <si>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</si>
  <si>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</si>
  <si>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</si>
  <si>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prodaje proizvoda i robe</t>
  </si>
  <si>
    <t>Prihodi od pruženih usluga</t>
  </si>
  <si>
    <t>Ostale naknade i pristojbe za posebne namjene</t>
  </si>
  <si>
    <t>Ostali prihodi državne uprave za posebne namjene</t>
  </si>
  <si>
    <t>Sufinanciranje cijene usluge, participacije i slično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</si>
  <si>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</si>
  <si>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</si>
  <si>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</si>
  <si>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</si>
  <si>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od međunarodnih organizacija - ostale</t>
  </si>
  <si>
    <t>Kapitalne pomoći od međunarodnih organizacija - ostalo</t>
  </si>
  <si>
    <t>Tekuće pomoći od institucija i tijela EU - ESF</t>
  </si>
  <si>
    <t>Tekuće pomoći od institucija i tijela EU - ERDF</t>
  </si>
  <si>
    <t>Tekuće pomoći od institucija i tijela EU - IPA</t>
  </si>
  <si>
    <t>Tekuće pomoći od institucija i tijela EU - IPARD</t>
  </si>
  <si>
    <t>Tekuće pomoći od institucija i tijela EU - ostalo</t>
  </si>
  <si>
    <t>Tekuće pomoći od institucija i tijela EU - refundacije putnih troškova</t>
  </si>
  <si>
    <t>Kapitalne pomoći od institucija i tijela EU - ESF</t>
  </si>
  <si>
    <t>Kapitalne pomoći od institucija i tijela EU - ERDF</t>
  </si>
  <si>
    <t>Kapitalne pomoći od institucija i tijela EU - ostalo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</si>
  <si>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</si>
  <si>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</si>
  <si>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</si>
  <si>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</si>
  <si>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iz dobiti trgovačkih društava u javnom sektoru izvor 43</t>
  </si>
  <si>
    <t>Prihodi od prodaje kratkotrajne nefinancijske imovine izvor 31</t>
  </si>
  <si>
    <t>Ostali prihodi od nefinancijske imovine izvor 31</t>
  </si>
  <si>
    <t>Prihodi s naslova osiguranja, refundacije štete i totalne štete izvor 43</t>
  </si>
  <si>
    <t>Tekuće donacije od fizičkih osoba</t>
  </si>
  <si>
    <t>Tekuće donacije od neprofitnih organizacija</t>
  </si>
  <si>
    <t>Tekuće donacije od trgovačkih društava</t>
  </si>
  <si>
    <t>Tekuće donacije od ostalih subjekata izvan opće države</t>
  </si>
  <si>
    <t>Kapitalne donacije od fizičkih osoba - ostale</t>
  </si>
  <si>
    <t>Kapitalne donacije od neprofitnih organizacija</t>
  </si>
  <si>
    <t>Kapitalne donacije od trgovačkih društava</t>
  </si>
  <si>
    <t>Kapitalne donacije od ostalih subjekata izvan opće države</t>
  </si>
  <si>
    <t>Ostale nespomenute kazne izvor 43</t>
  </si>
  <si>
    <t>Ostali prihodi izvor 43</t>
  </si>
  <si>
    <t>Građevinsko zemljište, izvor 71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</si>
  <si>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</si>
  <si>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</si>
  <si>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</si>
  <si>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</si>
  <si>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</si>
  <si>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</si>
  <si>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</si>
  <si>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</si>
  <si>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</si>
  <si>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</si>
  <si>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</si>
  <si>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</si>
  <si>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Povrat zajmova danih neprofitnim organizacijama, građanima i kućanstvima - dugoročni - namjenski</t>
  </si>
  <si>
    <t>Primljeni krediti od kreditnih institucija u javnom sektoru - dugoročni</t>
  </si>
  <si>
    <t>Plan za unos u SAP - rashodi</t>
  </si>
  <si>
    <t>IZVOR
(odaberite)</t>
  </si>
  <si>
    <t>AKTIVNOST
(odaberite)</t>
  </si>
  <si>
    <t>OPIS AKTIVNOSTI</t>
  </si>
  <si>
    <t>A622000</t>
  </si>
  <si>
    <t>Plaće za redovan rad</t>
  </si>
  <si>
    <t>AKTIVNOST</t>
  </si>
  <si>
    <t>A622137</t>
  </si>
  <si>
    <t>Plaće u naravi</t>
  </si>
  <si>
    <t>A621001</t>
  </si>
  <si>
    <t>REDOVNA DJELATNOST SVEUČILIŠTA U ZAGREBU</t>
  </si>
  <si>
    <t>Plaće za prekovremeni rad</t>
  </si>
  <si>
    <t>A621002</t>
  </si>
  <si>
    <t>REDOVNA DJELATNOST SVEUČILIŠTA U RIJECI</t>
  </si>
  <si>
    <t>Plaće za posebne uvjete rada</t>
  </si>
  <si>
    <t>A621003</t>
  </si>
  <si>
    <t>REDOVNA DJELATNOST SVEUČILIŠTA U OSIJEKU</t>
  </si>
  <si>
    <t>Ostali rashodi za zaposlene</t>
  </si>
  <si>
    <t>A621004</t>
  </si>
  <si>
    <t>REDOVNA DJELATNOST SVEUČILIŠTA U SPLITU</t>
  </si>
  <si>
    <t>Doprinosi za obvezno zdravstveno osiguranje</t>
  </si>
  <si>
    <t>A621074</t>
  </si>
  <si>
    <t>REDOVNA DJELATNOST SVEUČILIŠTA U ZADRU</t>
  </si>
  <si>
    <t>Službena putovanja</t>
  </si>
  <si>
    <t>A621138</t>
  </si>
  <si>
    <t>REDOVNA DJELATNOST SVEUČILIŠTA U DUBROVNIKU</t>
  </si>
  <si>
    <t>Naknade za prijevoz, za rad na terenu i odvojeni život</t>
  </si>
  <si>
    <t>A621148</t>
  </si>
  <si>
    <t>REDOVNA DJELATNOST VELEUČILIŠTA I VISOKIH ŠKOLA</t>
  </si>
  <si>
    <t>Stručno usavršavanje zaposlenika</t>
  </si>
  <si>
    <t>A621168</t>
  </si>
  <si>
    <t>REDOVNA DJELATNOST SVEUČILIŠTA U PULI</t>
  </si>
  <si>
    <t>Ostale naknade troškova zaposlenima</t>
  </si>
  <si>
    <t>A679080</t>
  </si>
  <si>
    <t>REDOVNA DJELATNOST SVEUČILIŠTA SJEVER</t>
  </si>
  <si>
    <t>Uredski materijal i ostali materijalni rashodi</t>
  </si>
  <si>
    <t>A679112</t>
  </si>
  <si>
    <t>REDOVNA DJELATNOST SVEUČILIŠTA U SLAVONSKOM BRODU</t>
  </si>
  <si>
    <t>Materijal i sirovine</t>
  </si>
  <si>
    <t>A622122</t>
  </si>
  <si>
    <t>PROGRAMSKO FINANCIRANJE JAVNIH VISOKIH UČILIŠTA</t>
  </si>
  <si>
    <t>Energija</t>
  </si>
  <si>
    <t>A621038</t>
  </si>
  <si>
    <t>PROGRAMI VJEŽBAONICA VISOKIH UČILIŠTA</t>
  </si>
  <si>
    <t>Materijal i dijelovi za tekuće i investicijsko održavanje</t>
  </si>
  <si>
    <t>K621061</t>
  </si>
  <si>
    <t>ODRŽAVANJE OBJEKATA VISOKOOBRAZOVNIH USTANOVA</t>
  </si>
  <si>
    <t>Sitni inventar i auto gume</t>
  </si>
  <si>
    <t>A621180</t>
  </si>
  <si>
    <t>REKTORSKI ZBOR</t>
  </si>
  <si>
    <t>Vojna sredstva za jednokratnu upotrebu</t>
  </si>
  <si>
    <t>A622012</t>
  </si>
  <si>
    <t>REDOVNA DJELATNOST SEIZMOLOŠKE SLUŽBE</t>
  </si>
  <si>
    <t>Službena, radna i zaštitna odjeća i obuća</t>
  </si>
  <si>
    <t>A679071</t>
  </si>
  <si>
    <t>EU PROJEKTI SVEUČILIŠTA U OSIJEKU (IZ EVIDENCIJSKIH PRIHODA)</t>
  </si>
  <si>
    <t>Usluge telefona, pošte i prijevoza</t>
  </si>
  <si>
    <t>A679072</t>
  </si>
  <si>
    <t>EU PROJEKTI SVEUČILIŠTA U RIJECI (IZ EVIDENCIJSKIH PRIHODA)</t>
  </si>
  <si>
    <t>Usluge tekućeg i investicijskog održavanja</t>
  </si>
  <si>
    <t>A679073</t>
  </si>
  <si>
    <t>EU PROJEKTI SVEUČILIŠTA U DUBROVNIKU (IZ EVIDENCIJSKIH PRIHODA)</t>
  </si>
  <si>
    <t>Usluge promidžbe i informiranja</t>
  </si>
  <si>
    <t>A679074</t>
  </si>
  <si>
    <t>EU PROJEKTI SVEUČILIŠTA U ZADRU (IZ EVIDENCIJSKIH PRIHODA)</t>
  </si>
  <si>
    <t>Komunalne usluge</t>
  </si>
  <si>
    <t>A679075</t>
  </si>
  <si>
    <t>EU PROJEKTI SVEUČILIŠTA U PULI (IZ EVIDENCIJSKIH PRIHODA)</t>
  </si>
  <si>
    <t>Zakupnine i najamnine</t>
  </si>
  <si>
    <t>A679076</t>
  </si>
  <si>
    <t>EU PROJEKTI VELEUČILIŠTA I VISOKIH ŠKOLA (IZ EVIDENCIJSKIH PRIHODA)</t>
  </si>
  <si>
    <t>Zdravstvene i veterinarske usluge</t>
  </si>
  <si>
    <t>A679077</t>
  </si>
  <si>
    <t>EU PROJEKTI SVEUČILIŠTE U SPLITU (IZ EVIDENCIJSKIH PRIHODA)</t>
  </si>
  <si>
    <t>Intelektualne i osobne usluge</t>
  </si>
  <si>
    <t>A679078</t>
  </si>
  <si>
    <t>EU PROJEKTI SVEUČILIŠTE U ZAGREBU (IZ EVIDENCIJSKIH PRIHODA)</t>
  </si>
  <si>
    <t>Računalne usluge</t>
  </si>
  <si>
    <t>A679081</t>
  </si>
  <si>
    <t>EU PROJEKTI SVEUČILIŠTA SJEVER (IZ EVIDENCIJSKIH PRIHODA)</t>
  </si>
  <si>
    <t>A622132</t>
  </si>
  <si>
    <t>Ostale usluge</t>
  </si>
  <si>
    <t>SB - EU PROJEKT</t>
  </si>
  <si>
    <t>EU PROJEKTI SVEUČILIŠTA U SLAVONSKOM BRODU (IZ EVIDENCIJSKIH PRIHODA)</t>
  </si>
  <si>
    <t>Naknade troškova osobama izvan radnog odnosa</t>
  </si>
  <si>
    <t>A679088</t>
  </si>
  <si>
    <t>REDOVNA DJELATNOST SVEUČILIŠTA U ZAGREBU (IZ EVIDENCIJSKIH PRIHODA)</t>
  </si>
  <si>
    <t>Naknade za rad predstavničkih i izvršnih tijela, povjerensta</t>
  </si>
  <si>
    <t>A679089</t>
  </si>
  <si>
    <t>REDOVNA DJELATNOST SVEUČILIŠTA U RIJECI (IZ EVIDENCIJSKIH PRIHODA)</t>
  </si>
  <si>
    <t>Premije osiguranja</t>
  </si>
  <si>
    <t>A679090</t>
  </si>
  <si>
    <t>REDOVNA DJELATNOST SVEUČILIŠTA U OSIJEKU (IZ EVIDENCIJSKIH PRIHODA)</t>
  </si>
  <si>
    <t>Reprezentacija</t>
  </si>
  <si>
    <t>A679091</t>
  </si>
  <si>
    <t>REDOVNA DJELATNOST SVEUČILIŠTA U SPLITU (IZ EVIDENCIJSKIH PRIHODA)</t>
  </si>
  <si>
    <t xml:space="preserve">  Reprezentacija</t>
  </si>
  <si>
    <t>A679092</t>
  </si>
  <si>
    <t>REDOVNA DJELATNOST SVEUČILIŠTA U ZADRU (IZ EVIDENCIJSKIH PRIHODA)</t>
  </si>
  <si>
    <t>Članarine i norme</t>
  </si>
  <si>
    <t>A679093</t>
  </si>
  <si>
    <t>REDOVNA DJELATNOST SVEUČILIŠTA U DUBROVNIKU (IZ EVIDENCIJSKIH PRIHODA)</t>
  </si>
  <si>
    <t>Pristojbe i naknade</t>
  </si>
  <si>
    <t>A679094</t>
  </si>
  <si>
    <t>REDOVNA DJELATNOST VELEUČILIŠTA I VISOKIH ŠKOLA (IZ EVIDENCIJSKIH PRIHODA)</t>
  </si>
  <si>
    <t>Troškovi sudskih postupaka</t>
  </si>
  <si>
    <t>A679095</t>
  </si>
  <si>
    <t>REDOVNA DJELATNOST SVEUČILIŠTA U PULI (IZ EVIDENCIJSKIH PRIHODA)</t>
  </si>
  <si>
    <t>Ostali nespomenuti rashodi poslovanja</t>
  </si>
  <si>
    <t>A679096</t>
  </si>
  <si>
    <t>REDOVNA DJELATNOST SVEUČILIŠTA SJEVER (IZ EVIDENCIJSKIH PRIHODA)</t>
  </si>
  <si>
    <t>Kamate za izdane trezorske zapise</t>
  </si>
  <si>
    <t>SB -REDOVNA AKTIVNOST</t>
  </si>
  <si>
    <t>REDOVNA DJELATNOST SVEUČILIŠTA U SLAVONSKOM BRODU (IZ EVIDENCIJSKIH PRIHODA)</t>
  </si>
  <si>
    <t>Kamate za primljene kredite i zajmove od kreditnih i ostalih</t>
  </si>
  <si>
    <t>K679084</t>
  </si>
  <si>
    <t>OP KONKURENTNOST I KOHEZIJA 2014.-2020., PRIORITET 1 i 10</t>
  </si>
  <si>
    <t>K679106</t>
  </si>
  <si>
    <t>OP UČINKOVITI LJUDSKI POTENCIJALI 2014.-2020., PRIORITET 3</t>
  </si>
  <si>
    <t>Kamate za primljene zajmove od trgovačkih društava i obrtnik</t>
  </si>
  <si>
    <t>K679111</t>
  </si>
  <si>
    <t>OP UČINKOVITI LJUDSKI POTENCIJALI 2014.-2020., PRIORITET 1 - GARANCIJA ZA MLADE</t>
  </si>
  <si>
    <t>Bankarske usluge i usluge platnog prometa</t>
  </si>
  <si>
    <t>REDOVNA DJELATNOST JAVNIH INSTITUTA</t>
  </si>
  <si>
    <t>Negativne tečajne razlike i razlike zbog primjene valutne kl</t>
  </si>
  <si>
    <t>A622002</t>
  </si>
  <si>
    <t>PROGRAM USAVRŠAVANJA ZNANSTVENIH NOVAKA</t>
  </si>
  <si>
    <t>Zatezne kamate</t>
  </si>
  <si>
    <t>A622011</t>
  </si>
  <si>
    <t>REDOVNA DJELATNOST GEOLOŠKE SLUŽBE</t>
  </si>
  <si>
    <t>Ostali nespomenuti financijski rashodi</t>
  </si>
  <si>
    <t>A622125</t>
  </si>
  <si>
    <t>EU PROJEKTI JAVNIH INSTITUTA (IZ EVIDENCIJSKIH PRIHODA)</t>
  </si>
  <si>
    <t>Subvencije kreditnim i ostalim financijskim institucijama u</t>
  </si>
  <si>
    <t>REDOVNA DJELATNOST JAVNIH INSTITUTA (IZ EVIDENCIJSKIH PRIHODA)</t>
  </si>
  <si>
    <t>Subvencije trgovačkim društvima u javnom sektoru</t>
  </si>
  <si>
    <t>PROGRAMSKO FINANCIRANJE JAVNIH ZNANSTVENIH INSTITUTA</t>
  </si>
  <si>
    <t>Subvencije trgovačkim društvima izvan javnog sektora</t>
  </si>
  <si>
    <t>K622128</t>
  </si>
  <si>
    <t>Subvencije trgovačkim društvima, zadrugama, poljoprivrednici</t>
  </si>
  <si>
    <t>Tekuće pomoći inozemnim vladama</t>
  </si>
  <si>
    <t>Tekuće pomoći međunarodnim organizacijama te institucijama i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</si>
  <si>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</si>
  <si>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</si>
  <si>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</si>
  <si>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</si>
  <si>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Kapitalne pomoći temeljem prijenosa EU sredstava</t>
  </si>
  <si>
    <t>Tekući prijenosi između proračunskih korisnika istog proraču</t>
  </si>
  <si>
    <t>Kapitalni prijenosi između proračunskih korisnika istog pror</t>
  </si>
  <si>
    <t>Naknade građ. i kuć. u novcu-neposr. ili putem ust.izvan js</t>
  </si>
  <si>
    <t>Naknade građ. i kuć. u naravi-neposr. ili putem ust.izvan js</t>
  </si>
  <si>
    <t>Naknade građanima i kućanstvima u novcu - putem ustanova u j</t>
  </si>
  <si>
    <t>Naknade građanima i kućanstvima u naravi - putem ustanova u</t>
  </si>
  <si>
    <t>Naknade građanima i kućanstvima na temelju osiguranja iz EU</t>
  </si>
  <si>
    <t>Naknade građanima i kućanstvima u novcu</t>
  </si>
  <si>
    <t>Naknade građanima i kućanstvima u naravi</t>
  </si>
  <si>
    <t>Naknade građanima i kućanstvima iz EU sredstava</t>
  </si>
  <si>
    <t>Tekuće donacije u novcu</t>
  </si>
  <si>
    <t>Tekuće donacije u naravi</t>
  </si>
  <si>
    <t>Tekuće donacije iz EU sredstava</t>
  </si>
  <si>
    <t>Kapitalne donacije neprofitnim organizacijama</t>
  </si>
  <si>
    <t>Naknade šteta pravnim i fizičkim osobama</t>
  </si>
  <si>
    <t>Penali, ležarine i drugo</t>
  </si>
  <si>
    <t>Naknade šteta zaposlenicima</t>
  </si>
  <si>
    <t>Ugovorene kazne i ostale naknade šteta</t>
  </si>
  <si>
    <t>Ostale kazne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</si>
  <si>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</si>
  <si>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</si>
  <si>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</si>
  <si>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Zemljište</t>
  </si>
  <si>
    <t>Ostala prirodna materijalna imovina</t>
  </si>
  <si>
    <t>Koncesije</t>
  </si>
  <si>
    <t>Licence</t>
  </si>
  <si>
    <t>Ostala prava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</si>
  <si>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</si>
  <si>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</si>
  <si>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</si>
  <si>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</si>
  <si>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</si>
  <si>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</si>
  <si>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</si>
  <si>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</si>
  <si>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</si>
  <si>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</si>
  <si>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</si>
  <si>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</si>
  <si>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Prijevozna sredstva u cestovnom prometu</t>
  </si>
  <si>
    <t>Prijevozna sredstva u pomorskom i riječnom prometu</t>
  </si>
  <si>
    <t>Knjige</t>
  </si>
  <si>
    <t>Umjetnička djela (izložena u galerijama, muzejima i slično)</t>
  </si>
  <si>
    <t>Ostale nespomenute izložbene vrijednosti</t>
  </si>
  <si>
    <t>Višegodišnji nasadi</t>
  </si>
  <si>
    <t>Osnovno stado</t>
  </si>
  <si>
    <t>Ulaganja u računalne programe</t>
  </si>
  <si>
    <t>Umjetnička, literarna i znanstvena djela</t>
  </si>
  <si>
    <t>Ostala nematerijalna proizvedena imovina</t>
  </si>
  <si>
    <t>Pohranjene knjige, umjetnička djela i slične vrijednosti</t>
  </si>
  <si>
    <t>Strateške zalihe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</si>
  <si>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</si>
  <si>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</si>
  <si>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</si>
  <si>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</si>
  <si>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Dani zajmovi neprofitnim organizacijama, građanima i kućanst</t>
  </si>
  <si>
    <t>Otplata glavnice primljenih kredita od tuzemnih kreditnih in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</si>
  <si>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</si>
  <si>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</si>
  <si>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</si>
  <si>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</si>
  <si>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</si>
  <si>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</si>
  <si>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zajmova od trgovačkih društava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</si>
  <si>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</si>
  <si>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</si>
  <si>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</si>
  <si>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</si>
  <si>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PLAN PRIHODA I PRIMITAKA</t>
  </si>
  <si>
    <t>u kunama</t>
  </si>
  <si>
    <t>Izvor prihoda i primitaka</t>
  </si>
  <si>
    <t>2020.</t>
  </si>
  <si>
    <t>Stavka</t>
  </si>
  <si>
    <t>Naziv stavke</t>
  </si>
  <si>
    <t xml:space="preserve">Ukupno </t>
  </si>
  <si>
    <t xml:space="preserve">IZVOR 11             Opći prihodi i primici </t>
  </si>
  <si>
    <t>IZVOR 12             Sredstva učešća za pomoći</t>
  </si>
  <si>
    <t xml:space="preserve">IZVOR 31                  Vlastiti prihodi </t>
  </si>
  <si>
    <t xml:space="preserve">IZVOR 43                   Prihodi za posebne namjene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</si>
  <si>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</si>
  <si>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</si>
  <si>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</si>
  <si>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</si>
  <si>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</si>
  <si>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</si>
  <si>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</si>
  <si>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</si>
  <si>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81                Namjenski primici od zaduživanja</t>
  </si>
  <si>
    <t>PRIHODI (6+7)</t>
  </si>
  <si>
    <r>
      <rPr>
        <sz val="10"/>
        <rFont val="Calibri"/>
        <family val="2"/>
        <charset val="238"/>
      </rPr>
      <t xml:space="preserve">ODNOS </t>
    </r>
    <r>
      <rPr>
        <b/>
        <sz val="10"/>
        <rFont val="Calibri"/>
        <family val="2"/>
        <charset val="238"/>
      </rPr>
      <t>(unosi se s negativnim predznakom)</t>
    </r>
  </si>
  <si>
    <t>LIMIT ZA RASHODNU STRANU</t>
  </si>
  <si>
    <t>RASHODI</t>
  </si>
  <si>
    <t>KONTROLA</t>
  </si>
  <si>
    <t>631</t>
  </si>
  <si>
    <t>Pomoći od inozemnih vlada</t>
  </si>
  <si>
    <t>632</t>
  </si>
  <si>
    <t>Pomoći od međunarodnih organizacija te institucija i tijela EU</t>
  </si>
  <si>
    <t>634</t>
  </si>
  <si>
    <t>Pomoći od izvanproračunskih korisnika</t>
  </si>
  <si>
    <t>636</t>
  </si>
  <si>
    <t>638</t>
  </si>
  <si>
    <t>Pomoći temeljem prijenosa EU sredstava</t>
  </si>
  <si>
    <t>639</t>
  </si>
  <si>
    <t>Prijenosi između proračunskih korisnika istog proračuna</t>
  </si>
  <si>
    <t>641</t>
  </si>
  <si>
    <t>Prihodi od financijske imovine</t>
  </si>
  <si>
    <t>642</t>
  </si>
  <si>
    <t>Prihodi od nefinancijske imovine</t>
  </si>
  <si>
    <t>651</t>
  </si>
  <si>
    <t>652</t>
  </si>
  <si>
    <t>Prihodi po posebnim propisima</t>
  </si>
  <si>
    <t>661</t>
  </si>
  <si>
    <t>Prihodi od prodaje proizvoda i robe te pruženih usluga</t>
  </si>
  <si>
    <t>663</t>
  </si>
  <si>
    <t>Donacije od pravnih i fizičkih osoba izvan općeg proračuna</t>
  </si>
  <si>
    <t>671</t>
  </si>
  <si>
    <t>681</t>
  </si>
  <si>
    <t>Kazne i upravne mjere</t>
  </si>
  <si>
    <t>683</t>
  </si>
  <si>
    <t>Ostali prihodi</t>
  </si>
  <si>
    <t>6</t>
  </si>
  <si>
    <t>UKUPNO:</t>
  </si>
  <si>
    <t>711</t>
  </si>
  <si>
    <t>Prihodi od prodaje materijalne imovine - prirodnih bogatstava</t>
  </si>
  <si>
    <t>712</t>
  </si>
  <si>
    <t>Prihodi od prodaje nematerijalne imovine</t>
  </si>
  <si>
    <t>721</t>
  </si>
  <si>
    <t>Prihodi od prodaje građevinskih objekata</t>
  </si>
  <si>
    <t>722</t>
  </si>
  <si>
    <t>Prihodi od prodaje postrojenja i opreme</t>
  </si>
  <si>
    <t>723</t>
  </si>
  <si>
    <t>Prihodi od prodaje prijevoznih sredstava</t>
  </si>
  <si>
    <t>725</t>
  </si>
  <si>
    <t>Prihodi od prodaje višegodišnjih nasada i osnovnog stada</t>
  </si>
  <si>
    <t>7</t>
  </si>
  <si>
    <t>Primici (povrati) glavnice zajmova danih neprofitnim organizacijama, građanima i kućanstvima</t>
  </si>
  <si>
    <t>Primljeni krediti i zajmovi od kreditnih i ostalih financijskih institucija u javnom sektoru</t>
  </si>
  <si>
    <t>8</t>
  </si>
  <si>
    <t>Ukupno (po izvorima)</t>
  </si>
  <si>
    <t>2021.</t>
  </si>
  <si>
    <t>2022.</t>
  </si>
  <si>
    <t>FINANCIJSKI PLAN RASHODA I IZDATAKA ZA 2020. GODINU I PROJEKCIJE ZA 2021. I 2022. GODINU</t>
  </si>
  <si>
    <t>Šifra</t>
  </si>
  <si>
    <t>Naziv</t>
  </si>
  <si>
    <t>PRIJEDLOG PLANA 
UKUPNO za 2019.</t>
  </si>
  <si>
    <t xml:space="preserve">IZVOR 11              Opći prihodi i primici </t>
  </si>
  <si>
    <t>IZVOR 71                          Prihodi od nefin. imovine i nadoknade šteta s osnova osig.</t>
  </si>
  <si>
    <t>UKUPNO RASHODI I IZDACI</t>
  </si>
  <si>
    <t>RASHODI POSLOVANJA</t>
  </si>
  <si>
    <t>Rashodi za zaposlene</t>
  </si>
  <si>
    <t>Plaće</t>
  </si>
  <si>
    <t>Doprinisi na plaće</t>
  </si>
  <si>
    <t>Materijalni rashodi</t>
  </si>
  <si>
    <t>Naknade troškova zaposlenima</t>
  </si>
  <si>
    <t>Rashodi za materijal i energiju</t>
  </si>
  <si>
    <t>Rashodi za usluge</t>
  </si>
  <si>
    <t>Financijski rashodi</t>
  </si>
  <si>
    <t>Kamate za izdane vrijednosne papire</t>
  </si>
  <si>
    <t>Kamate za primljene kredite i zajmove</t>
  </si>
  <si>
    <t>Ostali financijski rashodi</t>
  </si>
  <si>
    <t>Subvencije</t>
  </si>
  <si>
    <t>Subvencije trgovačkim društvima, zadrugama, poljoprivrednicima i obrtnicima izvan javnog sektora</t>
  </si>
  <si>
    <t xml:space="preserve">Subvencije trgovačkim društvima, zadrugama, poljoprivrednicima i obrtnicima iz EU sredstava </t>
  </si>
  <si>
    <t>Pomoći dane u inozemstvo i unutar općeg proračuna</t>
  </si>
  <si>
    <t>Pomoći inozemnim vladama</t>
  </si>
  <si>
    <t>Pomoći međunarodnim organizacijama te institucijama i tijelima EU</t>
  </si>
  <si>
    <t>Pomoći unutar općeg proračuna</t>
  </si>
  <si>
    <t>Pomoći proračunskim korisnicima drugih proračuna</t>
  </si>
  <si>
    <t>Naknade građanima i kućanstvima na temelju osiguranja i druge naknade</t>
  </si>
  <si>
    <t>Naknade građanima i kućanstvima na temelju osiguranja</t>
  </si>
  <si>
    <t>Ostale naknade građanima i kućanstvima iz proračuna</t>
  </si>
  <si>
    <t>Ostali rashodi</t>
  </si>
  <si>
    <t>Tekuće donacije</t>
  </si>
  <si>
    <t>Kapitalne donacije</t>
  </si>
  <si>
    <t>Kazne, penali i naknade štete</t>
  </si>
  <si>
    <t xml:space="preserve">Kapitalne pomoći 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</si>
  <si>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</si>
  <si>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</si>
  <si>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</si>
  <si>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</si>
  <si>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</si>
  <si>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</si>
  <si>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</si>
  <si>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</si>
  <si>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</si>
  <si>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Višegodišnji nasadi i osnovno stado</t>
  </si>
  <si>
    <t>Nematerijalna proizvedena imovina</t>
  </si>
  <si>
    <t>Plemeniti metali i ostale pohranjene vrijednosti</t>
  </si>
  <si>
    <t>Rashodi za nabavu proizvedene kratkotrajne imovine</t>
  </si>
  <si>
    <t>Rashodi za nabavu zaliha</t>
  </si>
  <si>
    <t>Rashodi za dodatna ulaganja na nefinancijskoj imovini</t>
  </si>
  <si>
    <t>Izdaci za dane zajmove i depozite</t>
  </si>
  <si>
    <t>Izdaci za dane zajmove neprofitnim organizacijama, građanima i kućanstvima</t>
  </si>
  <si>
    <t>Izdaci za dane zajmove trgovačkim društvima u javnom sektoru</t>
  </si>
  <si>
    <t xml:space="preserve">Izdaci za depozite i jamčevne pologe </t>
  </si>
  <si>
    <t>Izdaci za otplatu glavnice primljenih kredita i zajmova</t>
  </si>
  <si>
    <t>Otplata glavnice primljenih kredita i zajmova od kreditnih i ostalih financijskih institucija u javnom sektoru</t>
  </si>
  <si>
    <t>Otplata glavnice primljenih kredita i zajmova od kreditnih i ostalih financijskih institucija izvan javnog sektora</t>
  </si>
  <si>
    <t>Otplata glavnice primljenih zajmova od trgovačkih društava i obrtnika izvan javnog sektora</t>
  </si>
  <si>
    <t>Otplata glavnice primljenih zajmova od drugih razina vlasti</t>
  </si>
  <si>
    <t>PROJEKCIJA PLANA 
UKUPNO za 2020.</t>
  </si>
  <si>
    <t>IZVOR7                          Prihodi od nefin. imovine i nadoknade šteta s osnova osig.</t>
  </si>
  <si>
    <t>PROJEKCIJA PLANA 
UKUPNO za 2021.</t>
  </si>
  <si>
    <t>IZVOR 81               Namjenski primici od zaduživanja</t>
  </si>
  <si>
    <t>UKUPNO RASHODI</t>
  </si>
  <si>
    <t>Prilog 6. PLAN IZDATAKA ZA OTPLATU GLAVNICE PRIMLJENIH ZAJMOVA</t>
  </si>
  <si>
    <t>Razdjel/Glava       ______________________________</t>
  </si>
  <si>
    <t>Izdaci za otplatu glavnice primljenih zajmova</t>
  </si>
  <si>
    <t>Izvor financiranja</t>
  </si>
  <si>
    <t>Aktivnost/ Projekt</t>
  </si>
  <si>
    <t>Konto izdatka</t>
  </si>
  <si>
    <t>Osigurano u 2019.</t>
  </si>
  <si>
    <t>Prijedlog za 
2020.</t>
  </si>
  <si>
    <t>Prijedlog za 
2021.</t>
  </si>
  <si>
    <t>Prijedlog za 
2022.</t>
  </si>
  <si>
    <t>Potpis odgovorne osobe:</t>
  </si>
  <si>
    <t>Mjesto i datum:</t>
  </si>
  <si>
    <t>Napomena: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</si>
  <si>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</si>
  <si>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</si>
  <si>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</si>
  <si>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</si>
  <si>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</si>
  <si>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</si>
  <si>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</si>
  <si>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NOVI PODPROJEKT</t>
  </si>
  <si>
    <t>A679071.001</t>
  </si>
  <si>
    <t>ERASMUS+ projekt razvijanja i certificiranja nastavnog plana obrazovnog modula logistike na diplomskim studijima Sveučilišta u Osijeku</t>
  </si>
  <si>
    <t>A679071.002</t>
  </si>
  <si>
    <t>ERASMUS+ projekt uvođenja novog kolegija u nastavni plan i program Ekonomskog fakulteta u Osijeku</t>
  </si>
  <si>
    <t>A679071.003</t>
  </si>
  <si>
    <t>ERASMUS+ projekt unaprjeđenja i promicanja telekomunikacijskog inženjeringa</t>
  </si>
  <si>
    <t>A679071.004</t>
  </si>
  <si>
    <t>ERASMUS + Ključna mjera 2: suradnja za inovacije i razmjena dobre prakse - e-ProfEng</t>
  </si>
  <si>
    <t>A679071.005</t>
  </si>
  <si>
    <t>ERASMUS+ projekt individualne mobilnosti nastavnog i nenastavnog osoblja kroz boravak na inozemnim ustanovama</t>
  </si>
  <si>
    <t>A679071.006</t>
  </si>
  <si>
    <t>ERASMUS+ projekt međukulturalne razmjene stručnih znanja u građevinarstvu</t>
  </si>
  <si>
    <t>A679071.007</t>
  </si>
  <si>
    <t>ERASMUS+ projekt razvijanja pedagoških vještina kroz boravak na inozemnim ustanovama</t>
  </si>
  <si>
    <t>A679071.008</t>
  </si>
  <si>
    <t>Projekt energetske obnove zgrade - Strojarski fakultet Slavonski Brod</t>
  </si>
  <si>
    <t>A679071.009</t>
  </si>
  <si>
    <t>IPA AGRICULTURAL WASTE projekt poboljšanja konkurentnosti regionalnih ekonomskih subjekata u prekograničnom području</t>
  </si>
  <si>
    <t>A679072.001</t>
  </si>
  <si>
    <t>ERASMUS+ projekt razvoja prometnih modaliteta kod trajekata i putničkih brodova</t>
  </si>
  <si>
    <t>A679072.002</t>
  </si>
  <si>
    <t>INTERREG DIGILOGOS projekt digitalizacije logistike multimodalnog teretnog i putničkog transporta Italije i Hrvatske</t>
  </si>
  <si>
    <t>A679072.003</t>
  </si>
  <si>
    <t>ERASMUS+ projekt ujednačavanja standarda kvalifikacija za zvanja u unutarnjoj plovidbi na razini EU</t>
  </si>
  <si>
    <t>A679072.004</t>
  </si>
  <si>
    <t>INTERREG ECOSUSTAIN projekt unaprjeđenja upravljanja zaštićenim područjima uvođenjem novih ICT tehnologija</t>
  </si>
  <si>
    <t>A679072.005</t>
  </si>
  <si>
    <t>ERASMUS+ACTS+ on line projekt izrade platforme za učenje COLREGS-a u pomorstvu</t>
  </si>
  <si>
    <t>A679072.006</t>
  </si>
  <si>
    <t>ERASMUS+ SKILLS ON BORD projekt edukacije voditelja brodica i zapovjednika jahti</t>
  </si>
  <si>
    <t>A679072.007</t>
  </si>
  <si>
    <t>ERASMUS+ SKILLS projekt definiranja modula zanimanja na tržištu rada na kopnu po završetku karijere na brodovima</t>
  </si>
  <si>
    <t>A679072.008</t>
  </si>
  <si>
    <t>INTERREG DEEPSEA projekt razvoja sustava upravljanja i inovativnih usluga za nautičare u lukama temeljenih na obnovljivim izvorima energije</t>
  </si>
  <si>
    <t>A679072.009</t>
  </si>
  <si>
    <t>INTERREG E-CHAIN projekt izrade modularnog softvera  za poboljšanje povezanosti i uskladu podataka Jadranske Intermodalne Mreže</t>
  </si>
  <si>
    <t>A679072.010</t>
  </si>
  <si>
    <t>INTERREG PROMARES projekt unaprjeđenja suradnje u logistici pomorskog i multimodalnog teretnog prometa za sve luke</t>
  </si>
  <si>
    <t>A679072.011</t>
  </si>
  <si>
    <t>ERASMUS+ LOGIN projekt pripreme stvaranja sustava kvalifikacija i programa za izobrazbu kadrova u logistici</t>
  </si>
  <si>
    <t>A679072.012</t>
  </si>
  <si>
    <t>H2020 GLYCOVAX projekt obrazovanja i interakcije s industrijom mladih znanstvenika u racionalnom dizajnu cjepiva protiv glikokonjugata</t>
  </si>
  <si>
    <t>A679072.013</t>
  </si>
  <si>
    <t>Post-traumatic Integration projekt razvijanja svijesti i edukacija stručnjaka za rad s izbjeglicama</t>
  </si>
  <si>
    <t>A679072.014</t>
  </si>
  <si>
    <t>Projekt Europskog društva za izučavanje traumatskog stresa</t>
  </si>
  <si>
    <t>A679072.015</t>
  </si>
  <si>
    <t>ERASMUS+ projekt jačanja kapaciteta za izučavanje medicine boli u zemljama zapadnog Balkana</t>
  </si>
  <si>
    <t>A679072.016</t>
  </si>
  <si>
    <t>ERASMUS projekt proučavanja socijalnog angažmana za rješavanje izazova kroničnih bolesti</t>
  </si>
  <si>
    <t>A679072.017</t>
  </si>
  <si>
    <t>H2020 PIXEL Učinkovito korištenje resursa, održivi razvoj i zeleni rast luka i okolnih gradova</t>
  </si>
  <si>
    <t>A679072.018</t>
  </si>
  <si>
    <t>Wom@rts projekt promicanja razvoja svijesti o ravnopravnosti spolova kroz transnacionalnu mrežu i platformu</t>
  </si>
  <si>
    <t>A679072.019</t>
  </si>
  <si>
    <t>INTERREG DANUBE Inno HPC</t>
  </si>
  <si>
    <t>A679072.020</t>
  </si>
  <si>
    <t>ERASMUS+ PESHES Jačanje kapaciteta u području visokog obrazovanja</t>
  </si>
  <si>
    <t>A679072.021</t>
  </si>
  <si>
    <t>ERASMUS+ TEFCE Prema europskom okviru za angažiranje visokog obrazovanja u zajednici</t>
  </si>
  <si>
    <t>A679072.022</t>
  </si>
  <si>
    <t>INTERREG BEAT Plava poboljšanja za prijenos tehnologije</t>
  </si>
  <si>
    <t>A679072.023</t>
  </si>
  <si>
    <t>INTERREG ADRIREEF Istraživanje potencijala grebena u Jadranskom moru s ciljem jačanja Plave ekonomije</t>
  </si>
  <si>
    <t>A679074.001</t>
  </si>
  <si>
    <t>INTERREG MELAdetect projekt prekogranične suradnje u liječenju različitih vrsta melanoma</t>
  </si>
  <si>
    <t>A679074.002</t>
  </si>
  <si>
    <t>INTERREG STRONGER projekt osnivanja prekograničnog klastera i e-platforme iz područja prerađivačke industrije ljekovitog i začinskog bilja</t>
  </si>
  <si>
    <t>A679074.003</t>
  </si>
  <si>
    <t>INTERREG APPRODI projekt izrade strateškog plana za poticanje ekoturizma kroz istraživanja o povijesnim utjecajima pomorskog prometa</t>
  </si>
  <si>
    <t>A679074.004</t>
  </si>
  <si>
    <t>Zadar Baštini projekt stvaranja kulturno-turističkog proizvoda grada Zadra s ciljem povećanja turističke posjećenosti</t>
  </si>
  <si>
    <t>A679074.005</t>
  </si>
  <si>
    <t>MADE IN-LAND projekt očuvanja prirodnih i kulturnih resursa u unutrašnjosti Italije i Hrvatske</t>
  </si>
  <si>
    <t>A679074.006</t>
  </si>
  <si>
    <t>INTERREG DISCOVER projekt pozicioniranja slabije poznatih mjesta Italije i  Hrvatske na turističku kartu ponude</t>
  </si>
  <si>
    <t>A679074.007</t>
  </si>
  <si>
    <t>INTERREG REPLICATE projekt revitalizacije zabačenih područja i izgubljene baštine</t>
  </si>
  <si>
    <t>A679074.008</t>
  </si>
  <si>
    <t>INTERREG GUTTA projekt pilot akcije pronalaska eko-rute s naglaskom na zaštitu okoliša</t>
  </si>
  <si>
    <t>A679075.001</t>
  </si>
  <si>
    <t>INTERREG DA SPACE projekt interdisciplinarne i međunarodne suradnja povezivanja akademskog, gospodarskog, istraživačkog i javnog sektora</t>
  </si>
  <si>
    <t>A679075.002</t>
  </si>
  <si>
    <t>INTERREG RE-WIND projekt prekogranične suradnje Italije i Hrvatske kroz neiskorišteni potencijal prirodne i kulturne baštine</t>
  </si>
  <si>
    <t>A679075.003</t>
  </si>
  <si>
    <t>INTERREG ADRIATIC ATLAS projekt prekogranične suradnje Italije i Hrvatske kroz neiskorišteni potencijal prirodne i kulturne baštine i poticanje pokretanja ICT tvrtki</t>
  </si>
  <si>
    <t>A679075.004</t>
  </si>
  <si>
    <t>INTERREG ALTEROUTES projekt krajobraznog upravljanja s ciljem smanjenja pritiska masovnog turizma na dragocjenu povijesnu baštinu</t>
  </si>
  <si>
    <t>A679075.005</t>
  </si>
  <si>
    <t>INTERREG RIVERS projekt poticanja kulturne industrije Italije i Hrvatske kroz praćenje podrijetla krajolika rijeka i njihovih ušća duž jadranske obale</t>
  </si>
  <si>
    <t>A679075.006</t>
  </si>
  <si>
    <t>INTERREG ARTHUR projekt praćenja i mjerenja kapaciteta noćenja u turističkim destinacijama radi usmjeravanja na manje opterećena turistička područja</t>
  </si>
  <si>
    <t>A679075.007</t>
  </si>
  <si>
    <t>ERASMUS KA103 Mobilnost studenata i osoblja Sveučilišta u Puli</t>
  </si>
  <si>
    <t>A679075.008</t>
  </si>
  <si>
    <t>ERASMUS KA107 Odlazne i dolazne mobilnosti studenata i osoblja Sveučilišta u Puli</t>
  </si>
  <si>
    <t>A679076.001</t>
  </si>
  <si>
    <t>INTERREG SLO-HR Živi dvorci - projekt očuvanja kulturnog nasljeđa</t>
  </si>
  <si>
    <t>A679076.002</t>
  </si>
  <si>
    <t>ERASMUS+ KA103 Mobilnost studenata i osoblja Veleučilišta u Vukovaru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</si>
  <si>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</si>
  <si>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</si>
  <si>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</si>
  <si>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</si>
  <si>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</si>
  <si>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</si>
  <si>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</si>
  <si>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</si>
  <si>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A679077.005</t>
  </si>
  <si>
    <t>WIRE 2020 Inovacije ekosustava i razvoj regija Europe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</si>
  <si>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</si>
  <si>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</si>
  <si>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</si>
  <si>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</si>
  <si>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A679077.008</t>
  </si>
  <si>
    <t>SAVE Sport Against Violence and Exclusion - Sportom protiv nasilja i isključenosti</t>
  </si>
  <si>
    <t>A679077.009</t>
  </si>
  <si>
    <t>ESA Program sportskih aktivnosti za djecu s tipičnim razvojem i potrebama</t>
  </si>
  <si>
    <t>A679077.010</t>
  </si>
  <si>
    <t>ENTIRE Mapiranje normativnog okvira za etiku provođenja istraživanja</t>
  </si>
  <si>
    <t>A679077.011</t>
  </si>
  <si>
    <t>VIR2UE Etika utemeljena na istraživačkoj čestitosti</t>
  </si>
  <si>
    <t>A679077.012</t>
  </si>
  <si>
    <t>SOPs4RI Europski kodeks ponašanja za istraživačku čestitost</t>
  </si>
  <si>
    <t>A679077.013</t>
  </si>
  <si>
    <t>INTERREG IPA CBC HR-BA-ME Unaprjeđenje dijagnostičkih i terapijskih usluga medicine spavanja u prekograničnom području južne Hrvatske i zapadne Bosne i Hercegovine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</si>
  <si>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</si>
  <si>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</si>
  <si>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</si>
  <si>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</si>
  <si>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</si>
  <si>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</si>
  <si>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</si>
  <si>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</si>
  <si>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A679077.018</t>
  </si>
  <si>
    <t>ERASMUS+ EUNIT Internacionalizacija visokoobrazovnih institucija u zemljama regije južnog Mediterana</t>
  </si>
  <si>
    <t>A679077.019</t>
  </si>
  <si>
    <t>ERASMUS+ BESTSDI Izrada kurikula na temu infrastrukture prostornih podataka u zemljama Zapadnog Balkana</t>
  </si>
  <si>
    <t>A679077.020</t>
  </si>
  <si>
    <t>ERASMUS+ InCounselling50+ Razvoj holističkog i znanstveno utemeljenog koncepta za inovativno savjetovanje i usmjeravanje kroz karijeru</t>
  </si>
  <si>
    <t>A679077.021</t>
  </si>
  <si>
    <t>ERASMUS+ FINAC Razvoj novih postdiplomskih studija u Republici Srbiji i Albaniji iz financijskog upravljanja, računovodstva i kontrolinga</t>
  </si>
  <si>
    <t>A679077.022</t>
  </si>
  <si>
    <t>ERASMUS+ CAPUS Očuvanje umjetnosti u javnim prostorima</t>
  </si>
  <si>
    <t>A679077.023</t>
  </si>
  <si>
    <t>ERASMUS+ FOODQA Poticanje suradnje akademije i industrije u sigurnosti i kvaliteti hrane</t>
  </si>
  <si>
    <t>A679077.024</t>
  </si>
  <si>
    <t>ERASMUS+ CABUFAL Izgradnja kapaciteta Pravnog fakulteta Crne Gore u procesu pristupanja EU</t>
  </si>
  <si>
    <t>A679077.025</t>
  </si>
  <si>
    <t>ERASMUS+ MEMUD MA studij u području urbanog dizajna za područje centralne i jugoistočne Europe</t>
  </si>
  <si>
    <t>A679077.026</t>
  </si>
  <si>
    <t>EUROPEAID: INTERCAP projekt mijenjanja javne percepcije o migracijama, sigurnosti i održivom razvoju u međuzavisnom svijetu</t>
  </si>
  <si>
    <t>A679077.027</t>
  </si>
  <si>
    <t>ERASMUS+ SpeculativeEDU projekt obrazovanja i stjecanja iskustva u području dizajna u nastajanju</t>
  </si>
  <si>
    <t>A679077.028</t>
  </si>
  <si>
    <t>ERASMUS+ dodjela bespovratnih sredstava studiranja i prakse kod mobilnosti nastavnog i nenastavnog osoblja Sveučilišta u Splitu</t>
  </si>
  <si>
    <t>A679077.029</t>
  </si>
  <si>
    <t>ERASMUS+ Programske zemlje KA103 Mobilnost studenata i osoblja Sveučilišta u Splitu</t>
  </si>
  <si>
    <t>A679077.030</t>
  </si>
  <si>
    <t>A679077.033</t>
  </si>
  <si>
    <t>ERASMUS+  Partnerske zemlje KA107 Odlazne i dolazne mobilnosti studenata i osoblja Sveučilišta u Splitu</t>
  </si>
  <si>
    <t>A679077.034</t>
  </si>
  <si>
    <t>ERASMUS KA107 Odlazne i dolazne mobilnosti studenata i osoblja Sveučilišta u Splitu</t>
  </si>
  <si>
    <t>A679077.035</t>
  </si>
  <si>
    <t>A679078.001</t>
  </si>
  <si>
    <t>CoSMass Projekt proučavanja razvoja rasta zvjezdane mase središnjih supermasivnih crnih rupa kroz kozmičko vrijeme</t>
  </si>
  <si>
    <t>A679078.002</t>
  </si>
  <si>
    <t>AeRoTwin - Twinning koordinacijska akcija za širenje izvrsnosti i sudjelovanja u zračnoj robotici</t>
  </si>
  <si>
    <t>A679078.003</t>
  </si>
  <si>
    <t>ENDORSE Efikasno brusenje  robotskim sustavom potpomognuto HORSE okruženjem</t>
  </si>
  <si>
    <t>A679078.004</t>
  </si>
  <si>
    <t>Ostvarivanje sljedivosti za mjerenje kakvoće električne energije</t>
  </si>
  <si>
    <t>A679078.009</t>
  </si>
  <si>
    <t>DESTination RAIL - FACT (Find, Analyse, Classify, Treat) alat za upravljanje željezničkom infrastrukturom</t>
  </si>
  <si>
    <t>A679078.010</t>
  </si>
  <si>
    <t>H2020  SAFE 10-T Razvoj sigurnosnog okvira za transportnu infrastrukturu</t>
  </si>
  <si>
    <t>A679078.011</t>
  </si>
  <si>
    <t>Regional Center Adria Umrežavanje dionika sektora mineralnih neenergetskih sirovina</t>
  </si>
  <si>
    <t>A679078.012</t>
  </si>
  <si>
    <t>HORIZON 2020 BBI - Razvijanje funkcionalnih molekula za biološke premaze</t>
  </si>
  <si>
    <t>A679078.013</t>
  </si>
  <si>
    <t>FITNESS Platforma za e-učenje svih aspekata pakiranja hrane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</si>
  <si>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</si>
  <si>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</si>
  <si>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</si>
  <si>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</si>
  <si>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</si>
  <si>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</si>
  <si>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A679078.017</t>
  </si>
  <si>
    <t>IRI IDG - Razvoj inovativne platforme za digitalnu transformaciju poduzeća</t>
  </si>
  <si>
    <t>A679078.018</t>
  </si>
  <si>
    <t>IRI HYPER - Razvoj inovativne platforme za digitalnu transformaciju poduzeća</t>
  </si>
  <si>
    <t>A679078.019</t>
  </si>
  <si>
    <t>DIGITRANS - digitalna transformacija dunavske regije</t>
  </si>
  <si>
    <t>A679078.020</t>
  </si>
  <si>
    <t>ABCitiEs Razvoj novih vrsta poduzetničkih zajednica koje stvaraju atraktivnije lokalno poslovno okruženje</t>
  </si>
  <si>
    <t>A679078.021</t>
  </si>
  <si>
    <t>ERASMUS+ Potpora za nastavno i nenastavno osoblje</t>
  </si>
  <si>
    <t>A679078.022</t>
  </si>
  <si>
    <t>Obzor 2020  CEF - Poticanje istraživanja Connecting Europe Facilites i Norveške zaklade za znanost</t>
  </si>
  <si>
    <t>A679078.023</t>
  </si>
  <si>
    <t>Europska noć istraživača</t>
  </si>
  <si>
    <t>A679078.024</t>
  </si>
  <si>
    <t>ERASMUS+ projekt mobilnosti i aktivnosti studenata kroz istraživanja u inozemstvu</t>
  </si>
  <si>
    <t>A679078.025</t>
  </si>
  <si>
    <t>MANGO Ekstremna učinkovitost korištenih resursa u budućim računalima visokih performansi</t>
  </si>
  <si>
    <t>A679078.026</t>
  </si>
  <si>
    <t>CROSS BOrder Prekogranično upravljanje obnovljivim izvorima energije i skladišnim jedinicama</t>
  </si>
  <si>
    <t>A679078.027</t>
  </si>
  <si>
    <t>OBZOR2020 MEET Kapitaliziranje iskorištavanja naprednih geotermalnih sustava i potencijala</t>
  </si>
  <si>
    <t>A679078.028</t>
  </si>
  <si>
    <t>MicroGRId Rješenja za sudjelovanje mikromreža na tržištu električne energije</t>
  </si>
  <si>
    <t>A679078.029</t>
  </si>
  <si>
    <t>RoboCom ++ Promišljati robotiku za robota Suradnik budućnosti</t>
  </si>
  <si>
    <t>A679078.030</t>
  </si>
  <si>
    <t>TEchnology TRAnsfer putem višenacionalnih aplikacija eXperiments</t>
  </si>
  <si>
    <t>A679078.031</t>
  </si>
  <si>
    <t>Immersive Visual Technologies (IVT) Vizualne tehnologije za sigurnosne aplikacije</t>
  </si>
  <si>
    <t>A679078.032</t>
  </si>
  <si>
    <t>subCULTron Učenje, samoregulacija i samoodrživost podvodnog društva/kulture robota u okruženju s visokim učinkom</t>
  </si>
  <si>
    <t>A679078.034</t>
  </si>
  <si>
    <t>OBZOR 2020 PentaHelix Inovativna metoda u provedbi održivog razvoja i klime</t>
  </si>
  <si>
    <t>A679078.035</t>
  </si>
  <si>
    <t>OBZOR 2020 PROSEU  PROSumers FOR THE Energy Union: integriranje aktivnog sudjelovanja građana u tranziciju energije</t>
  </si>
  <si>
    <t>A679078.036</t>
  </si>
  <si>
    <t>OBZOR 2020 UPGRADE DH Unaprjeđenje performansi daljinskog grijanja u Europi</t>
  </si>
  <si>
    <t>A679078.037</t>
  </si>
  <si>
    <t>GoSAFE RAIL Globalni okvir upravljanja sigurnošću za željeznice</t>
  </si>
  <si>
    <t>A679078.038</t>
  </si>
  <si>
    <t>Dubrovnik International ESEE Mining school Škola rudarstva za istočnu i jugoistočnu Europu</t>
  </si>
  <si>
    <t>A679078.039</t>
  </si>
  <si>
    <t>InvestRM Multifaktorski model za ulaganja u sektor sirovina</t>
  </si>
  <si>
    <t>A679078.040</t>
  </si>
  <si>
    <t>rESEErve Mineralni potencijal istočne i jugoistočne Europe (ESEE produčje)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</si>
  <si>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</si>
  <si>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</si>
  <si>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</si>
  <si>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</si>
  <si>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A679078.043</t>
  </si>
  <si>
    <t>ENOS Omogućavanje dekarbonizacije energetskih djelatnosti na bazi fosilnih goriva i energetski intenzivne industrije</t>
  </si>
  <si>
    <t>A679078.044</t>
  </si>
  <si>
    <t>EXERTER Mreža pan-europskih stručnjaka za sigurnost eksploziva</t>
  </si>
  <si>
    <t>A679078.045</t>
  </si>
  <si>
    <t>CRISS Demonstracija skalabilne i ekonomične infrastrukture za digitalno učenje temeljeno na oblaku</t>
  </si>
  <si>
    <t>A679078.046</t>
  </si>
  <si>
    <t>ERASMUS+ MERIA Matematičko obrazovanje - relevantno, zanimljivo i primjenjivo</t>
  </si>
  <si>
    <t>A679078.047</t>
  </si>
  <si>
    <t>ERASMUS+ Jean Monnet Network, Navigating the storm: Izazovi malih država u Europi</t>
  </si>
  <si>
    <t>A679078.048</t>
  </si>
  <si>
    <t>ERASMUS+  Razvijanje pismenosti i usvajanje jezika obrazovanja kod djece u nepovoljnom položaju (manjine, migranti i ostale skupine)</t>
  </si>
  <si>
    <t>A679078.049</t>
  </si>
  <si>
    <t>H2020 Uspostava Living Labs (životni laboratoriji) u urbanim područjima koja se suočavaju s izazovom postindustrijske regeneracije</t>
  </si>
  <si>
    <t>A679078.050</t>
  </si>
  <si>
    <t>H2020 DOIT Poduzetničke vještine mladih socijalnih inovatora u otvorenom digitalnom svijetu</t>
  </si>
  <si>
    <t>A679078.051</t>
  </si>
  <si>
    <t>Napredne fizičko-akustičke i psihoakustične dijagnostičke metode za ocjenu buke u građevini</t>
  </si>
  <si>
    <t>A679078.052</t>
  </si>
  <si>
    <t>Digital Traceablity Chain for AC Voltage and Current omogućit će dinamičko mjerenje strujnih i naponskih valnih oblika</t>
  </si>
  <si>
    <t>A679078.053</t>
  </si>
  <si>
    <t>SafeLog Sigurna interakcija čovjeka i robota u logističkim aplikacijama za vrlo fleksibilna skladišta</t>
  </si>
  <si>
    <t>A679078.054</t>
  </si>
  <si>
    <t>Univerzalni preventivni kurikulum (UPC) u Europi za sprječavanje uporabe droga</t>
  </si>
  <si>
    <t>A679078.055</t>
  </si>
  <si>
    <t>Jačanje maloljetničkog pravosuđa u rješavanju jedinstvene situacije maloljetnika i njihovu zaštitu prema međunarodnom i europskom pravu u kontekstu protuterorizma</t>
  </si>
  <si>
    <t>A679078.056</t>
  </si>
  <si>
    <t>Building bridges: promicanje socijalne uključenosti, ravnopravnosti i dobrobiti za rizične obitelji u Europi</t>
  </si>
  <si>
    <t>A679078.057</t>
  </si>
  <si>
    <t>ABC Assisting Better Communication Potpora boljem komuniciranju</t>
  </si>
  <si>
    <t>A679078.058</t>
  </si>
  <si>
    <t>Inovativni akademski tečaj o integrativnim intervencijama za djecu s poremećajima spektra autizma IACIIC_ASD</t>
  </si>
  <si>
    <t>A679078.059</t>
  </si>
  <si>
    <t>HORIZON 2020 VetMed Jačanje kapaciteta u molekularnoj veterini</t>
  </si>
  <si>
    <t>A679081.001</t>
  </si>
  <si>
    <t>INTERREG Projekt LOW-CARB Integrirano planiranje pokretljivosti s niskom razinom ugljika za urbana područja</t>
  </si>
  <si>
    <t>A679081.002</t>
  </si>
  <si>
    <t>ERASMUS+ JEAN MONNET Razvoj i implementacija CQAF modela osiguranja kvalitete na visokoškolskim ustanovama</t>
  </si>
  <si>
    <t>A679081.003</t>
  </si>
  <si>
    <t>ERASMUS+ JEAN MONNET MODULES - Interdisciplinarni pristup političkim i pravnim dimenzijama regionalnih integracija</t>
  </si>
  <si>
    <t>A679081.004</t>
  </si>
  <si>
    <t>ERASMUS+  Poticanje mobilnosti studenata i znanstveno-nastavnog osoblja</t>
  </si>
  <si>
    <t>K679084.001</t>
  </si>
  <si>
    <t>Vrhunska istraživanja Znanstvenih centara izvrsnosti</t>
  </si>
  <si>
    <t>K679084.002</t>
  </si>
  <si>
    <t>Ulaganje u organizacijsku reformu i infrastrukturu sektora istraživanja, razvoja i inovacija</t>
  </si>
  <si>
    <t>K679084.003</t>
  </si>
  <si>
    <t>Razvoj i jačanje sinergija s horizontalnim aktivnostima programa OBZOR 2020:  Twinning i ERA chairs</t>
  </si>
  <si>
    <t>K679084.004</t>
  </si>
  <si>
    <t>Poziv Modernizacija, unaprjeđenje i proširenje infrastrukture studentskog smještaja za studente u nepovoljnom položaju</t>
  </si>
  <si>
    <t>K679106.001</t>
  </si>
  <si>
    <t>Internacionalizacija visokog obrazovanja - razvoj studijskih programa na stranim jezicima u prioritetnim područjima i združenih studija</t>
  </si>
  <si>
    <t>K679106.002</t>
  </si>
  <si>
    <t>Provedba HKO-a na razini visokog obrazovanja</t>
  </si>
  <si>
    <t>K679106.003</t>
  </si>
  <si>
    <t>Razvoj, unapređenje i provedba stručne prakse u visokom obrazovanju</t>
  </si>
  <si>
    <t>K679111.001</t>
  </si>
  <si>
    <t>Druga prilika za stjecanje kvalifikacije u visokom obrazovanju</t>
  </si>
  <si>
    <t>A622125.001</t>
  </si>
  <si>
    <t>H2020, Twinning: SmartEIZ</t>
  </si>
  <si>
    <t>A622125.003</t>
  </si>
  <si>
    <t>H2020 EuroFusion Istraživnja energije fuzije</t>
  </si>
  <si>
    <t>A622125.004</t>
  </si>
  <si>
    <t>H2020 PerformFISH Prevladavanje bioloških, tehničkih i operativnih pitanja u akvakulturi</t>
  </si>
  <si>
    <t>A622125.005</t>
  </si>
  <si>
    <t>H2020 NewSpindlForce Temeljna istraživanja dinamike diobenog vretena u cilju razumijevanja mehanizama stanične diobe</t>
  </si>
  <si>
    <t>A622125.006</t>
  </si>
  <si>
    <t>H2020 Concert Povezivanje istraživanja zaštite od zračenja na EU razini</t>
  </si>
  <si>
    <t>A622125.007</t>
  </si>
  <si>
    <t>H2020 PaRaDe SEC Unaprjeđenje istraživačke infrastrukture, posebice detektora čestica i zračenja za istraživanja u nuklearnoj i čestičnoj fizici</t>
  </si>
  <si>
    <t>A622125.008</t>
  </si>
  <si>
    <t>H2020 RBI-T-WINNING Umrežavanje Zavoda za teorijsku fiziku s vodećim EU institucijama</t>
  </si>
  <si>
    <t>A622125.009</t>
  </si>
  <si>
    <t>H2020 OpenAIRE-Advance Osiguravanje otvorenog pristupa i otvorene znanosti na razini EU</t>
  </si>
  <si>
    <t>A622125.010</t>
  </si>
  <si>
    <t>H2020 ESSnuSB Izrada studije o mogućnosti nadogradnje ESS akceleratora</t>
  </si>
  <si>
    <t>A622125.011</t>
  </si>
  <si>
    <t>H2020 EOSC-hub Katalog usluga, softvera i podataka iz EGI Federacije, EUDAT CDI, INDIGO - DataCloud i glavnih istraživačkih e-Infrastruktura</t>
  </si>
  <si>
    <t>A622125.012</t>
  </si>
  <si>
    <t>H2020 TETRAMAX Transfer znanja kroz suradnju istraživačke organizacije i MSP</t>
  </si>
  <si>
    <t>A622125.013</t>
  </si>
  <si>
    <t>H2020 NEW Povezivanje komplementanih nacionalnih ion-beam postrojenja u virtualnu mrežu</t>
  </si>
  <si>
    <t>A622125.014</t>
  </si>
  <si>
    <t>INTERREG IRON-AGE-DANUBE Monumentalni krajolici starijeg željeznog doba na prostoru Podunavlja</t>
  </si>
  <si>
    <t>A622125.015</t>
  </si>
  <si>
    <t>H2020, ERA-net GeoERA Uspostava istraživačkog prostora europskih geoloških službi i stvaranje geološke službe za Europu</t>
  </si>
  <si>
    <t>A622125.016</t>
  </si>
  <si>
    <t>INTERREG CBC Hrvatska-BiH-Crna Gora SafEath Napredno upravljanje rizikom klizišta u regiji</t>
  </si>
  <si>
    <t>A622125.017</t>
  </si>
  <si>
    <t>INTERREG Danube SIMONA Informacijski sustav koji podupire transnacionalnu suradnju za zajedničko vodno gospodarstvo u slivu rijeke Dunav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</si>
  <si>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</si>
  <si>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</si>
  <si>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</si>
  <si>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</si>
  <si>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</si>
  <si>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</si>
  <si>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A622125.021</t>
  </si>
  <si>
    <t>CASE (Poland) - Razvoj i primjena inovativnih alata usmjerenih na ograničavanje fenomena neregistriranog rada u ustanovama suodgovornim za minimiziranje sive ekonomije na trzištu rada</t>
  </si>
  <si>
    <t>A622125.022</t>
  </si>
  <si>
    <t>OBZOR2020  HBM4EU Inicijativa Europskog humanog biomonitoringa izrada baze kohorti novorođenčeta u Europi</t>
  </si>
  <si>
    <t>A622125.023</t>
  </si>
  <si>
    <t>OBZOR2020  CONCERT Europski zajednički program za integraciju istraživanja zaštite od zračenja</t>
  </si>
  <si>
    <t>A622125.024</t>
  </si>
  <si>
    <t>EK: Prilagodba industrijskih odnosa novim oblicima rada</t>
  </si>
  <si>
    <t>A622125.025</t>
  </si>
  <si>
    <t>EK Erasmus +Jean Monnet Učenje EU  standarda  na Balkanu</t>
  </si>
  <si>
    <t>A622125.026</t>
  </si>
  <si>
    <t>VOLPOWER Volontiranje kao doprinos interakciji i osnaživanju mladih</t>
  </si>
  <si>
    <t>A622125.027</t>
  </si>
  <si>
    <t>INTERREG Središnja Europa RESTAURA-revitaliziranje povijesnih građevina kroz javno privatno partnerstvo</t>
  </si>
  <si>
    <t>A622125.028</t>
  </si>
  <si>
    <t>INTERREG Središnja Europa KEEP ON-Učinkovita politika za trajne i samoodržive projekte u sektoru kulturne baštine</t>
  </si>
  <si>
    <t>A622125.030</t>
  </si>
  <si>
    <t>Modeli integriranog turizma na Mediteranu plus</t>
  </si>
  <si>
    <t>A622125.031</t>
  </si>
  <si>
    <t>ERASMUS + SeasonREADY Obrazovanje za sezonske turističke djelatnike</t>
  </si>
  <si>
    <t>A622125.032</t>
  </si>
  <si>
    <t>ERASMUS+  SKILLS ON BOARD Razvoj vještina profesionalnih skipera</t>
  </si>
  <si>
    <t>A622125.033</t>
  </si>
  <si>
    <t>ERASMUS+ SPECHALE  SPEcialisti za kulturnu baštinu i atraktivno životno okruženje</t>
  </si>
  <si>
    <t>A622125.034</t>
  </si>
  <si>
    <t>H2020 CHIEF Inovativni pristup kulturne pismenosti mladih Europljana</t>
  </si>
  <si>
    <t>A622125.035</t>
  </si>
  <si>
    <t>PaRaDeSEC Proširenje potencijala u detektorima, senzorima i elektronici u česticama i zračenju u Hrvatskoj</t>
  </si>
  <si>
    <t>A622125.036</t>
  </si>
  <si>
    <t>VetMedZg  Nadogradnja znanstvenog rada molekularne medicine na Veterinarskom fakultetu Sveucilista u Zagrebu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</si>
  <si>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</si>
  <si>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</si>
  <si>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</si>
  <si>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</si>
  <si>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K622128.004</t>
  </si>
  <si>
    <t>080</t>
  </si>
  <si>
    <t>NOVI AKT</t>
  </si>
  <si>
    <t>NAZIV AKTIVNOSTI / PROJEKTA</t>
  </si>
  <si>
    <t>08005</t>
  </si>
  <si>
    <t>Ministarstvo znanosti i obrazovanja</t>
  </si>
  <si>
    <t>3701</t>
  </si>
  <si>
    <t>RAZVOJ ODGOJNO OBRAZOVNOG SUSTAVA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</si>
  <si>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</si>
  <si>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</si>
  <si>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</si>
  <si>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</si>
  <si>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</si>
  <si>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</si>
  <si>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</si>
  <si>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</si>
  <si>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A733052</t>
  </si>
  <si>
    <t>DALJNJE UNAPREĐENJE SUSTAVA ZA RAZVOJ I PROVEDBU NACIONALNOGA KVALIFIKACIJSKOG OKVIRA (NKO)</t>
  </si>
  <si>
    <t>A767042</t>
  </si>
  <si>
    <t>OBRAZOVANJE OSOBA BEZ HRVATSKOG DRŽAVLJANSTVA</t>
  </si>
  <si>
    <t>K768057</t>
  </si>
  <si>
    <t>K818050</t>
  </si>
  <si>
    <t>T818053</t>
  </si>
  <si>
    <t>PROJEKT EDUCA-T GRANT</t>
  </si>
  <si>
    <t>3704</t>
  </si>
  <si>
    <t>SREDNJOŠKOLSKO OBRAZOVANJE</t>
  </si>
  <si>
    <t>A676057</t>
  </si>
  <si>
    <t>MODERNIZACIJA STRUKOVNIH PROGRAMA OBRAZOVANJA I OSPOSOBLJAVANJA - ŠVICARSKO-HRVATSKI PROGRAM SURADNJE</t>
  </si>
  <si>
    <t>3801</t>
  </si>
  <si>
    <t>ULAGANJE U ZNANSTVENO ISTRAŽIVAČKU DJELATNOST</t>
  </si>
  <si>
    <t>A578055</t>
  </si>
  <si>
    <t>HRVATSKO-ŠVICARSKI ISTRAŽIVAČKI PROGRAM</t>
  </si>
  <si>
    <t>A676059</t>
  </si>
  <si>
    <t>OBZOR 2020. - EUROPSKA NOĆ ISTRAŽIVAČA</t>
  </si>
  <si>
    <t>A733055</t>
  </si>
  <si>
    <t>PROGRAM IZVRSNOSTI U VISOKOM OBRAZOVANJU - TENURE-TRACK</t>
  </si>
  <si>
    <t>A733060</t>
  </si>
  <si>
    <t>OBZOR 2020. - PROGRAM POTICANJA ISTRAŽIVANJA I RAZVOJA MORSKIH BIO-RESURSA – ERA-NET BLUEBIOECONOMY</t>
  </si>
  <si>
    <t>A767038</t>
  </si>
  <si>
    <t>OBZOR 2020. - PROGRAM MEĐUNARODNE MOBILNOSTI ZA ISTRAŽIVAČE - NEWFELPRO</t>
  </si>
  <si>
    <t>K578051</t>
  </si>
  <si>
    <t>3802</t>
  </si>
  <si>
    <t>TEHNOLOGIJSKI RAZVITAK</t>
  </si>
  <si>
    <t>A767029</t>
  </si>
  <si>
    <t>DRUGI PROJEKT TEHNOLOGIJSKOG RAZVOJA</t>
  </si>
  <si>
    <t>3705</t>
  </si>
  <si>
    <t>VISOKO OBRAZOVANJE</t>
  </si>
  <si>
    <t>A621181</t>
  </si>
  <si>
    <t>PRAVOMOĆNE SUDSKE PRESUDE</t>
  </si>
  <si>
    <t>A621183</t>
  </si>
  <si>
    <t>STIPENDIJE I ŠKOLARINE ZA DOKTORSKI STUDIJ</t>
  </si>
  <si>
    <t>EU PROJEKTI SVEUČILIŠTA U OSIJEKU - OSTALI IZVORI FINANCIRANJA</t>
  </si>
  <si>
    <t>EU PROJEKTI SVEUČILIŠTA U RIJECI - OSTALI IZVORI FINANCIRANJA</t>
  </si>
  <si>
    <t>EU PROJEKTI SVEUČILIŠTA U DUBROVNIKU - OSTALI IZVORI FINANCIRANJA (ERASMUS+)</t>
  </si>
  <si>
    <t>EU PROJEKTI SVEUČILIŠTA U ZADRU - OSTALI IZVORI FINANCIRANJA</t>
  </si>
  <si>
    <t>EU PROJEKTI SVEUČILIŠTA U PULI - OSTALI IZVORI FINANCIRANJA</t>
  </si>
  <si>
    <t>EU PROJEKTI VELEUČILIŠTA I VISOKIH ŠKOLA - OSTALI IZVORI FINANCIRANJA</t>
  </si>
  <si>
    <t>EU PROJEKTI SVEUČILIŠTE U SPLITU - OSTALI IZVORI FINANCIRANJA</t>
  </si>
  <si>
    <t>EU PROJEKTI SVEUČILIŠTE U ZAGREBU - OSTALI IZVORI FINANCIRANJA</t>
  </si>
  <si>
    <t>EU PROJEKTI SVEUČILIŠTA SJEVER - OSTALI IZVORI FINANCIRANJA</t>
  </si>
  <si>
    <t>REDOVNA DJELATNOST SVEUČILIŠTA U ZAGREBU - OSTALI IZVORI FINANCIRANJA</t>
  </si>
  <si>
    <t>REDOVNA DJELATNOST SVEUČILIŠTA U RIJECI - OSTALI IZVORI FINANCIRANJA</t>
  </si>
  <si>
    <t>REDOVNA DJELATNOST SVEUČILIŠTA U OSIJEKU - OSTALI IZVORI FINANCIRANJA</t>
  </si>
  <si>
    <t>REDOVNA DJELATNOST SVEUČILIŠTA U SPLITU - OSTALI IZVORI FINANCIRANJA</t>
  </si>
  <si>
    <t>REDOVNA DJELATNOST SVEUČILIŠTA U ZADRU - OSTALI IZVORI FINANCIRANJA</t>
  </si>
  <si>
    <t>REDOVNA DJELATNOST SVEUČILIŠTA U DUBROVNIKU - OSTALI IZVORI FINANCIRANJA</t>
  </si>
  <si>
    <t>REDOVNA DJELATNOST VELEUČILIŠTA I VISOKIH ŠKOLA - OSTALI IZVORI FINANCIRANJA</t>
  </si>
  <si>
    <t>REDOVNA DJELATNOST SVEUČILIŠTA U PULI - OSTALI IZVORI FINANCIRANJA</t>
  </si>
  <si>
    <t>REDOVNA DJELATNOST SVEUČILIŠTA SJEVER - OSTALI IZVORI FINANCIRANJA</t>
  </si>
  <si>
    <t>K320650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</si>
  <si>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</si>
  <si>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</si>
  <si>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</si>
  <si>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</si>
  <si>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EU PROJEKTI JAVNIH INSTITUTA - OSTALI IZVORI FINANCIRANJA</t>
  </si>
  <si>
    <t>REDOVNA DJELATNOST JAVNIH INSTITUTA - OSTALI IZVORI FINANCIRANJA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</si>
  <si>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</si>
  <si>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</si>
  <si>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</si>
  <si>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</si>
  <si>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</si>
  <si>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SURADNJA DZIV-a S EUROPSKIM UREDOM ZA ŽIGOVE I DIZAJN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</si>
  <si>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</si>
  <si>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</si>
  <si>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</si>
  <si>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</si>
  <si>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</si>
  <si>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</si>
  <si>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</si>
  <si>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ADMINISTRACIJA I UPRAVLJANJE NACIONALNE SVEUČILIŠNE KNJIŽNICE - OSTALI IZVORI FINANCIRANJA</t>
  </si>
  <si>
    <t>K622116</t>
  </si>
  <si>
    <t>KNJIGE, UMJETNIČKA DJELA I OSTALE IZLOŽBENE VRIJEDNOSTI</t>
  </si>
  <si>
    <t>21852</t>
  </si>
  <si>
    <t>Hrvatska akademska i istraživačka mreža Carnet</t>
  </si>
  <si>
    <t>3803</t>
  </si>
  <si>
    <t>RAZVOJ INFORMACIJSKOG DRUŠTVA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</si>
  <si>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</si>
  <si>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</si>
  <si>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</si>
  <si>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</si>
  <si>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</si>
  <si>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</si>
  <si>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</si>
  <si>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</si>
  <si>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</si>
  <si>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</si>
  <si>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A628073</t>
  </si>
  <si>
    <t>PRIMJENA INFORMACIJSKE I KOMUNIKACIJSKE TEHNOLOGIJE U SUSTAVU SOCIJALNE SKRBI</t>
  </si>
  <si>
    <t>A628074</t>
  </si>
  <si>
    <t>PROGRAMI ZAJEDNICE</t>
  </si>
  <si>
    <t>A628078</t>
  </si>
  <si>
    <t>POTICANJE PRIMJENE INFORMACIJSKE I KOMUNIKACIJSKE TEHNOLOGIJE ZA POTREBE MINISTARSTVA ZAŠTITE OKOLIŠA I ENERGETIKE</t>
  </si>
  <si>
    <t>A628079</t>
  </si>
  <si>
    <t>POTICANJE PRIMJENE INFORMACIJSKE I KOMUNIKACIJSKE TEHNOLOGIJE ZA POTREBE HZMO</t>
  </si>
  <si>
    <t>A628082</t>
  </si>
  <si>
    <t>POTICANJE PRIMJENE INFORMACIJSKE I KOMUNIKACIJSKE TEHNOLOGIJE ZA POTREBE ZDRAVSTVENOG SUSTAVA REPUBLIKE HRVATSKE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</si>
  <si>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</si>
  <si>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</si>
  <si>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</si>
  <si>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</si>
  <si>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</si>
  <si>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</si>
  <si>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</si>
  <si>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</si>
  <si>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</si>
  <si>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</si>
  <si>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</si>
  <si>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</si>
  <si>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</si>
  <si>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</si>
  <si>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</si>
  <si>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ADMINISTRACIJA I UPRAVLJANJE LEKSIKOGRAFSKOG ZAVODA MIROSLAV KRLEŽA - OSTALI IZVORI FINANCIRANJA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</si>
  <si>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</si>
  <si>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</si>
  <si>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</si>
  <si>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</si>
  <si>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</si>
  <si>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ADMINISTRACIJA I UPRAVLJANJE SVEUČILIŠNOG RAČUNSKOG CENTRA SRCE - OSTALI IZVORI FINANCIRANJA</t>
  </si>
  <si>
    <t>K628055</t>
  </si>
  <si>
    <t>SRCE -IZRAVNA KAPITALNA ULAGANJA</t>
  </si>
  <si>
    <t>K628085</t>
  </si>
  <si>
    <t>SRCE - IZRAVNA KAPITALNA ULAGANJA - OSTALI IZVORI FINANCIRANJA</t>
  </si>
  <si>
    <t>K628087</t>
  </si>
  <si>
    <t>OP KONKURENTNOST I KOHEZIJA 2014.-2020., PRIORITETI 1 i 10</t>
  </si>
  <si>
    <t>23962</t>
  </si>
  <si>
    <t>Agencija za odgoj i obrazovanje</t>
  </si>
  <si>
    <t>A580006</t>
  </si>
  <si>
    <t>STRUČNO USAVRŠAVANJE I IZOBRAZBA UČITELJA I NASTAVNIKA U SREDNJIM ŠKOLAMA I USAVRŠAVANJE ZA PROVEDBU NACIONALNIH PROGRAMA</t>
  </si>
  <si>
    <t>A733001</t>
  </si>
  <si>
    <t>ADMINISTRACIJA I UPRAVLJANJE AGENCIJE ZA ODGOJ I OBRAZOVANJE</t>
  </si>
  <si>
    <t>A733003</t>
  </si>
  <si>
    <t>NACIONALNI PROGRAMI</t>
  </si>
  <si>
    <t>A733027</t>
  </si>
  <si>
    <t>STRUČNO USAVRŠAVANJE U OKVIRU ŽUPANIJSKIH STRUČNIH VIJEĆA</t>
  </si>
  <si>
    <t>A733028</t>
  </si>
  <si>
    <t>CENTAR ZA MEĐUNARODNU SURADNJU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</si>
  <si>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</si>
  <si>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</si>
  <si>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</si>
  <si>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</si>
  <si>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</si>
  <si>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</si>
  <si>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</si>
  <si>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</si>
  <si>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</si>
  <si>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TROŠKOVI NACIONALNOG VIJEĆA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</si>
  <si>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</si>
  <si>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</si>
  <si>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</si>
  <si>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</si>
  <si>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</si>
  <si>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</si>
  <si>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</si>
  <si>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</si>
  <si>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</si>
  <si>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</si>
  <si>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</si>
  <si>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</si>
  <si>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</si>
  <si>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</si>
  <si>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</si>
  <si>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</si>
  <si>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A867005</t>
  </si>
  <si>
    <t>JAČANJE STRUČNOG VISOKOG OBRAZOVANJA I STRUKOVNOG OBRAZOVANJA I OSPOSOBLJAVANJA U SREDNJOJ I JUGIOISTOČNOJ EUROPI (PROCSEE)</t>
  </si>
  <si>
    <t>A867006</t>
  </si>
  <si>
    <t>JAČANJE SPOSOBNOSTI U PODRUČJU STRUČNOG VISOKOG OBRAZOVANJA U EUROPI (BUILDPHE)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</si>
  <si>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</si>
  <si>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</si>
  <si>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</si>
  <si>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</si>
  <si>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</si>
  <si>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</si>
  <si>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</si>
  <si>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</si>
  <si>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</si>
  <si>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</si>
  <si>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</si>
  <si>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K867012</t>
  </si>
  <si>
    <t>OP UČINKOVITI LJUDSKI POTENCIJALI 2014.-2020., CJELOŽIVOTNO PROFESIONALNO USMJERAVANJE</t>
  </si>
  <si>
    <t>T867003</t>
  </si>
  <si>
    <t>KONKURENTNO HRVATSKO VISOKO OBRAZOVANJE ZA BOLJU ZAPOŠLJIVOST (IPA RPL)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</si>
  <si>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</si>
  <si>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</si>
  <si>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</si>
  <si>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</si>
  <si>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</si>
  <si>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MEĐUNARODNI PROJEKTI VREDNOVANJA ZNANJA I VJEŠTINA (IEA:PIRLS,TIMSS,ICILS-OECD:PISA,TALIS-EU:SURVEYLANG)</t>
  </si>
  <si>
    <t>A814001</t>
  </si>
  <si>
    <t>DRŽAVNA MATURA</t>
  </si>
  <si>
    <t>A814002</t>
  </si>
  <si>
    <t>VANJSKO VREDNOVANJE ODGOJNO-OBRAZOVNIH USTANOVA</t>
  </si>
  <si>
    <t>A814003</t>
  </si>
  <si>
    <t>NACIONALNI ISPITI U OSNOVNIM I SREDNJIM ŠKOLAMA</t>
  </si>
  <si>
    <t>A814007</t>
  </si>
  <si>
    <t>UNAPREĐENJE KVALITETE OBRAZOVNOG SUSTAVA</t>
  </si>
  <si>
    <t>A814008</t>
  </si>
  <si>
    <t>ZAVRŠNI ISPIT NA KRAJU OBRAZOVNOG CIKLUSA</t>
  </si>
  <si>
    <t>K580052</t>
  </si>
  <si>
    <t>UREĐENJE CENTRA ZA VANJSKO VREDNOVANJE OBRAZOVANJA</t>
  </si>
  <si>
    <t>K814004</t>
  </si>
  <si>
    <t>NABAVA INFORMATIČKE OPREME ZA EVALUACIJU ZNANJA UČENIKA - NCVVO</t>
  </si>
  <si>
    <t>K628067</t>
  </si>
  <si>
    <t>IZRADA SREDIŠNJEG REGISTRA ZA DRŽAVNU MATURU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</si>
  <si>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</si>
  <si>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</si>
  <si>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</si>
  <si>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</si>
  <si>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</si>
  <si>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DJELATNOST HRVATSKE MREŽE ZA MOBILNOST ISTRAŽIVAČA (FP7 Ad hoc-2007-13)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</si>
  <si>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</si>
  <si>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</si>
  <si>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</si>
  <si>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</si>
  <si>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</si>
  <si>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</si>
  <si>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</si>
  <si>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</si>
  <si>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</si>
  <si>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</si>
  <si>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</si>
  <si>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</si>
  <si>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</si>
  <si>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</si>
  <si>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</si>
  <si>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OBZOR 2020. I MOBILNOST ISTRAŽIVAČA</t>
  </si>
  <si>
    <t>A818043</t>
  </si>
  <si>
    <t>PROVEDBA PROGRAMA ERASMUS PLUS</t>
  </si>
  <si>
    <t>A818044</t>
  </si>
  <si>
    <t>ERASMUS PLUS – OBRAZOVANJE – PROJEKTI ZA KORISNIKE</t>
  </si>
  <si>
    <t>A818045</t>
  </si>
  <si>
    <t>ERASMUS PLUS – MLADI – PROJEKTI ZA KORISNIKE</t>
  </si>
  <si>
    <t>A818055</t>
  </si>
  <si>
    <t>PORTAL STUDY IN CROATIA</t>
  </si>
  <si>
    <t>A818057</t>
  </si>
  <si>
    <t>ERASMUS PLUS – K3 PROJEKT UMREŽAVANJE NACIONALNIH AGENCIJA U PODRUČJU MLADI</t>
  </si>
  <si>
    <t>A818058</t>
  </si>
  <si>
    <t>PROVEDBA EUROPSKE SNAGE SOLIDARNOSTI</t>
  </si>
  <si>
    <t>A818059</t>
  </si>
  <si>
    <t>PROJEKTI ZA KORISNIKE - EUROPSKE SNAGE SOLIDARNOSTI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</si>
  <si>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</si>
  <si>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</si>
  <si>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</si>
  <si>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</si>
  <si>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</si>
  <si>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</si>
  <si>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</si>
  <si>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</si>
  <si>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</si>
  <si>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</si>
  <si>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</si>
  <si>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</si>
  <si>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</si>
  <si>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</si>
  <si>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</si>
  <si>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</si>
  <si>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</si>
  <si>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</si>
  <si>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</si>
  <si>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</si>
  <si>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</si>
  <si>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</si>
  <si>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A848040</t>
  </si>
  <si>
    <t>EPALE - NACIONALNA SLUŽBA ZA PODRŠKU ZA REPUBLIKU HRVATSKU 2017.-2018. (EPALE III)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</si>
  <si>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</si>
  <si>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</si>
  <si>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</si>
  <si>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</si>
  <si>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</si>
  <si>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</si>
  <si>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A848044</t>
  </si>
  <si>
    <t>ERASMUS PLUS - ONLINE ALAT ZA ODREĐIVANJE REFERENTNIH VRIJEDNOSTI ZA OSIGURAVANJE KVALITETE U NAUKOVANJU - BEQUAL</t>
  </si>
  <si>
    <t>K848017</t>
  </si>
  <si>
    <t>UREĐENJE PROSTORA</t>
  </si>
  <si>
    <t>K848038</t>
  </si>
  <si>
    <t>T848027</t>
  </si>
  <si>
    <t>OP UČINKOVITI LJUDSKI POTENCIJALI 2014. - 2020., PRIORITET 5</t>
  </si>
  <si>
    <t>PODPROJEKTI (P4)</t>
  </si>
  <si>
    <t>K768057.001</t>
  </si>
  <si>
    <t>Obrazovanjem do veće zapošljivosti mladih</t>
  </si>
  <si>
    <t>K818050.001</t>
  </si>
  <si>
    <t>Osiguravanje pomoćnika u nastavi i stručnih komunikacijskih posrednika učenicima s teškoćama u razvoju u osnovnoškolskim i srednjoškolskim odgojno-obrazovnim ustanovama - faza III</t>
  </si>
  <si>
    <t>K818050.002</t>
  </si>
  <si>
    <t>Poticanje rada s darovitom djecom i učenicima na predtercijarnoj razini</t>
  </si>
  <si>
    <t>K818050.003</t>
  </si>
  <si>
    <t>Unapređenje pismenosti u svrhu promocije cjeloživotnog učenja</t>
  </si>
  <si>
    <t>K818050.004</t>
  </si>
  <si>
    <t>Podrška obrazovanju odraslih polaznika uključivanjem u prioritetne programe obrazovanja, usmjerene unapređenju vještina i kompetencija polaznika u svrhu povećanja zapošljivosti</t>
  </si>
  <si>
    <t>K818050.005</t>
  </si>
  <si>
    <t>Programska,stručna i financijska podrška obrazovanju učenika romske nacionalne manjine</t>
  </si>
  <si>
    <t>K818050.006</t>
  </si>
  <si>
    <t>K818050.007</t>
  </si>
  <si>
    <t>K818050.008</t>
  </si>
  <si>
    <t>K818050.009</t>
  </si>
  <si>
    <t>Sufinanciranje troškova uključivanja djece  u socio-ekonomski nepovoljnoj situaciji u predškolske ustanove</t>
  </si>
  <si>
    <t>K818050.010</t>
  </si>
  <si>
    <t>Unapređenje kvalitete obrazovanja odraslih kroz razvoj i provedbu HKO-a</t>
  </si>
  <si>
    <t>K818050.011</t>
  </si>
  <si>
    <t>Uspostava regionalnih centara kompetencija u strukovnom obrazovanju u odabranim sektorima</t>
  </si>
  <si>
    <t>K818050.012</t>
  </si>
  <si>
    <t>Promocija kvalitete strukovnog obrazovanja kroz podršku strukovnim školama u razvoju i uvođenju inovativnih rješenja te modernih i novih tehnologija</t>
  </si>
  <si>
    <t>K818050.013</t>
  </si>
  <si>
    <t>Dodjela stipendija studentima nižeg socio-ekonomskog statusa</t>
  </si>
  <si>
    <t>K818050.014</t>
  </si>
  <si>
    <t>Dodjela stipendija studentima u prioritetnim područjima STEM</t>
  </si>
  <si>
    <t>K818050.015</t>
  </si>
  <si>
    <t>Projekt razvoja karijera mladih istraživača - izobrazba novih doktora znanosti</t>
  </si>
  <si>
    <t>K818050.016</t>
  </si>
  <si>
    <t>Program suradnje s hrvatskim znanstvenicima u dijaspori ''ZNANSTVENA SURADNJA''</t>
  </si>
  <si>
    <t>K818050.017</t>
  </si>
  <si>
    <t>Program razvoja karijera mladih znanstvenika – poslijedoktoranada</t>
  </si>
  <si>
    <t>K818050.018</t>
  </si>
  <si>
    <t>Potpore za članstvo u međunarodnim znanstveno-istraživačkim tijelima</t>
  </si>
  <si>
    <t>K818050.019</t>
  </si>
  <si>
    <t>Uspostava i upravljanje Registrom HKO</t>
  </si>
  <si>
    <t>K818050.020</t>
  </si>
  <si>
    <t>Priprema i uvođenje programskih ugovora</t>
  </si>
  <si>
    <t>K818050.021</t>
  </si>
  <si>
    <t>Podrška provedbi cjelovite kurikularne reforme (CKR)</t>
  </si>
  <si>
    <t>K818050.022</t>
  </si>
  <si>
    <t>Podrška provedbi cjelovite kurikularne reforme (CKR) - faza II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</si>
  <si>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</si>
  <si>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</si>
  <si>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</si>
  <si>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</si>
  <si>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</si>
  <si>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</si>
  <si>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</si>
  <si>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</si>
  <si>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</si>
  <si>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</si>
  <si>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</si>
  <si>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K578051.006</t>
  </si>
  <si>
    <t>Priprema IRI infrastrukturnih projekata</t>
  </si>
  <si>
    <t>K578051.007</t>
  </si>
  <si>
    <t>Razvoj i jačanje sinergija s horizontalnim aktivnostima programa OBZOR 2020: Teaming</t>
  </si>
  <si>
    <t>K578051.008</t>
  </si>
  <si>
    <t>Poziv Centri kompetencija</t>
  </si>
  <si>
    <t>K578051.009</t>
  </si>
  <si>
    <t>Tehnička pomoć za MZO</t>
  </si>
  <si>
    <t>K628080.001</t>
  </si>
  <si>
    <t>II. faza programa "e-Škole: Cjelovita informatizacija procesa poslovanja škola i nastavnih procesa u svrhu stvaranja ditigalno zrelih škola za 21. stoljeće"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</si>
  <si>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</si>
  <si>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</si>
  <si>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</si>
  <si>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</si>
  <si>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</si>
  <si>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</si>
  <si>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</si>
  <si>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</si>
  <si>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K628087.003</t>
  </si>
  <si>
    <t>CEKOM GEZI</t>
  </si>
  <si>
    <t>K848038.001</t>
  </si>
  <si>
    <t>Modernizacija sustava stručnog usavršavanja nastavnika strukovnih predmeta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</si>
  <si>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</si>
  <si>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</si>
  <si>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</si>
  <si>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</si>
  <si>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</si>
  <si>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</si>
  <si>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</si>
  <si>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</si>
  <si>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</si>
  <si>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</si>
  <si>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Suzana Grivičić</t>
  </si>
  <si>
    <t>01/6111931</t>
  </si>
  <si>
    <t>suzana.grivicic@imin.hr</t>
  </si>
  <si>
    <t>Zagreb, 06.12.2019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</si>
</sst>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\-??_-;_-@_-"/>
    <numFmt numFmtId="165" formatCode="#\."/>
    <numFmt numFmtId="166" formatCode="00000000"/>
    <numFmt numFmtId="167" formatCode="#,##0.00&quot; kn&quot;;[Red]\-#,##0.00&quot; kn&quot;"/>
    <numFmt numFmtId="168" formatCode="#,##0_ ;\-#,##0\ "/>
    <numFmt numFmtId="169" formatCode="dd/mm/yy/;@"/>
    <numFmt numFmtId="170" formatCode="&quot;- &quot;@"/>
    <numFmt numFmtId="171" formatCode="&quot;+ &quot;@"/>
  </numFmts>
  <fonts count="57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MS Sans Serif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Open Sans"/>
      <charset val="1"/>
    </font>
    <font>
      <sz val="10"/>
      <name val="Tahoma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1"/>
    </font>
    <font>
      <sz val="8"/>
      <color rgb="FF333399"/>
      <name val="Arial"/>
      <family val="2"/>
      <charset val="1"/>
    </font>
    <font>
      <b/>
      <sz val="8"/>
      <color rgb="FF000000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0"/>
      <charset val="238"/>
    </font>
    <font>
      <sz val="19"/>
      <name val="Arial"/>
      <family val="2"/>
      <charset val="1"/>
    </font>
    <font>
      <sz val="8"/>
      <color rgb="FFFF00FF"/>
      <name val="Arial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3366"/>
      <name val="Calibri"/>
      <family val="2"/>
      <charset val="238"/>
    </font>
    <font>
      <sz val="10"/>
      <color rgb="FF003366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9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6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0"/>
      <color rgb="FFFFC000"/>
      <name val="Arial"/>
      <family val="2"/>
      <charset val="238"/>
    </font>
    <font>
      <b/>
      <sz val="11"/>
      <color rgb="FFFFC000"/>
      <name val="Calibri"/>
      <family val="2"/>
      <charset val="238"/>
    </font>
    <font>
      <b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85"/>
      <color rgb="FF000000"/>
      <name val="Calibri"/>
      <family val="2"/>
      <charset val="238"/>
    </font>
    <font>
      <b/>
      <sz val="10"/>
      <color rgb="FF333399"/>
      <name val="Calibri"/>
      <family val="2"/>
      <charset val="238"/>
    </font>
    <font>
      <i/>
      <sz val="10"/>
      <color rgb="FF000000"/>
      <name val="MS Sans Serif"/>
      <charset val="238"/>
    </font>
    <font>
      <b/>
      <i/>
      <sz val="10"/>
      <color rgb="FF000000"/>
      <name val="MS Sans Serif"/>
      <charset val="238"/>
    </font>
    <font>
      <b/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A6D9FF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  <fill>
      <patternFill patternType="solid">
        <fgColor rgb="FF993300"/>
        <bgColor rgb="FF993366"/>
      </patternFill>
    </fill>
    <fill>
      <patternFill patternType="solid">
        <fgColor rgb="FF00FF00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CFFFF"/>
        <bgColor rgb="FFCCFFCC"/>
      </patternFill>
    </fill>
    <fill>
      <patternFill patternType="solid">
        <fgColor rgb="FF666699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CC00"/>
        <bgColor rgb="FFFFC000"/>
      </patternFill>
    </fill>
    <fill>
      <patternFill patternType="solid">
        <fgColor rgb="FFB2B2FF"/>
        <bgColor rgb="FF99CCFF"/>
      </patternFill>
    </fill>
    <fill>
      <patternFill patternType="solid">
        <fgColor rgb="FF3F3FFF"/>
        <bgColor rgb="FF3366FF"/>
      </patternFill>
    </fill>
    <fill>
      <patternFill patternType="solid">
        <fgColor rgb="FF66B28C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000"/>
      </patternFill>
    </fill>
    <fill>
      <patternFill patternType="solid">
        <fgColor rgb="FFFF6600"/>
        <bgColor rgb="FFFF9900"/>
      </patternFill>
    </fill>
    <fill>
      <patternFill patternType="solid">
        <fgColor rgb="FF339966"/>
        <bgColor rgb="FF008080"/>
      </patternFill>
    </fill>
    <fill>
      <patternFill patternType="solid">
        <fgColor rgb="FFA6D9FF"/>
        <bgColor rgb="FF99CCFF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A6D9FF"/>
      </patternFill>
    </fill>
    <fill>
      <patternFill patternType="solid">
        <fgColor rgb="FFFFFFFF"/>
        <bgColor rgb="FFF2F2F2"/>
      </patternFill>
    </fill>
    <fill>
      <patternFill patternType="solid">
        <fgColor rgb="FF00FFFF"/>
        <bgColor rgb="FF00FFFF"/>
      </patternFill>
    </fill>
    <fill>
      <patternFill patternType="solid">
        <fgColor rgb="FFF2F2F2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C000"/>
        <bgColor rgb="FFFFCC00"/>
      </patternFill>
    </fill>
    <fill>
      <patternFill patternType="solid">
        <fgColor rgb="FFCCFFCC"/>
        <bgColor rgb="FFCCFFFF"/>
      </patternFill>
    </fill>
  </fills>
  <borders count="36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3300"/>
      </left>
      <right style="medium">
        <color rgb="FF003300"/>
      </right>
      <top style="medium">
        <color rgb="FF003300"/>
      </top>
      <bottom style="thin">
        <color rgb="FF0033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rgb="FF000080"/>
      </bottom>
      <diagonal/>
    </border>
    <border>
      <left style="thin">
        <color rgb="FF000080"/>
      </left>
      <right/>
      <top/>
      <bottom/>
      <diagonal/>
    </border>
    <border>
      <left/>
      <right style="thin">
        <color rgb="FF00008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75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2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2" fillId="10" borderId="0" applyBorder="0" applyProtection="0"/>
    <xf numFmtId="0" fontId="1" fillId="5" borderId="0" applyBorder="0" applyProtection="0"/>
    <xf numFmtId="0" fontId="1" fillId="11" borderId="0" applyBorder="0" applyProtection="0"/>
    <xf numFmtId="0" fontId="2" fillId="6" borderId="0" applyBorder="0" applyProtection="0"/>
    <xf numFmtId="0" fontId="1" fillId="12" borderId="0" applyBorder="0" applyProtection="0"/>
    <xf numFmtId="0" fontId="1" fillId="13" borderId="0" applyBorder="0" applyProtection="0"/>
    <xf numFmtId="0" fontId="2" fillId="4" borderId="0" applyBorder="0" applyProtection="0"/>
    <xf numFmtId="0" fontId="1" fillId="14" borderId="0" applyBorder="0" applyProtection="0"/>
    <xf numFmtId="0" fontId="1" fillId="15" borderId="0" applyBorder="0" applyProtection="0"/>
    <xf numFmtId="0" fontId="2" fillId="16" borderId="0" applyBorder="0" applyProtection="0"/>
    <xf numFmtId="164" fontId="56" fillId="0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9" borderId="0" applyBorder="0" applyProtection="0"/>
    <xf numFmtId="0" fontId="4" fillId="0" borderId="0"/>
    <xf numFmtId="0" fontId="5" fillId="8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1" applyProtection="0">
      <alignment vertical="center"/>
    </xf>
    <xf numFmtId="0" fontId="11" fillId="20" borderId="1" applyProtection="0">
      <alignment vertical="center"/>
    </xf>
    <xf numFmtId="0" fontId="10" fillId="20" borderId="1" applyProtection="0">
      <alignment horizontal="left" vertical="center" indent="1"/>
    </xf>
    <xf numFmtId="0" fontId="12" fillId="20" borderId="2" applyProtection="0">
      <alignment horizontal="left" vertical="top" indent="1"/>
    </xf>
    <xf numFmtId="0" fontId="10" fillId="21" borderId="1" applyProtection="0">
      <alignment horizontal="left" vertical="center" indent="1"/>
    </xf>
    <xf numFmtId="0" fontId="10" fillId="7" borderId="1" applyProtection="0">
      <alignment horizontal="right" vertical="center"/>
    </xf>
    <xf numFmtId="0" fontId="10" fillId="22" borderId="1" applyProtection="0">
      <alignment horizontal="right" vertical="center"/>
    </xf>
    <xf numFmtId="0" fontId="10" fillId="23" borderId="3" applyProtection="0">
      <alignment horizontal="right" vertical="center"/>
    </xf>
    <xf numFmtId="0" fontId="10" fillId="16" borderId="1" applyProtection="0">
      <alignment horizontal="right" vertical="center"/>
    </xf>
    <xf numFmtId="0" fontId="10" fillId="24" borderId="1" applyProtection="0">
      <alignment horizontal="right" vertical="center"/>
    </xf>
    <xf numFmtId="0" fontId="10" fillId="25" borderId="1" applyProtection="0">
      <alignment horizontal="right" vertical="center"/>
    </xf>
    <xf numFmtId="0" fontId="10" fillId="26" borderId="1" applyProtection="0">
      <alignment horizontal="right" vertical="center"/>
    </xf>
    <xf numFmtId="0" fontId="10" fillId="10" borderId="1" applyProtection="0">
      <alignment horizontal="right" vertical="center"/>
    </xf>
    <xf numFmtId="0" fontId="10" fillId="9" borderId="1" applyProtection="0">
      <alignment horizontal="right" vertical="center"/>
    </xf>
    <xf numFmtId="0" fontId="10" fillId="27" borderId="3" applyProtection="0">
      <alignment horizontal="left" vertical="center" indent="1"/>
    </xf>
    <xf numFmtId="0" fontId="13" fillId="13" borderId="3" applyProtection="0">
      <alignment horizontal="left" vertical="center" indent="1"/>
    </xf>
    <xf numFmtId="0" fontId="13" fillId="13" borderId="3" applyProtection="0">
      <alignment horizontal="left" vertical="center" indent="1"/>
    </xf>
    <xf numFmtId="0" fontId="10" fillId="6" borderId="1" applyProtection="0">
      <alignment horizontal="right" vertical="center"/>
    </xf>
    <xf numFmtId="0" fontId="10" fillId="12" borderId="3" applyProtection="0">
      <alignment horizontal="left" vertical="center" indent="1"/>
    </xf>
    <xf numFmtId="0" fontId="10" fillId="6" borderId="3" applyProtection="0">
      <alignment horizontal="left" vertical="center" indent="1"/>
    </xf>
    <xf numFmtId="0" fontId="10" fillId="3" borderId="1" applyProtection="0">
      <alignment horizontal="left" vertical="center" indent="1"/>
    </xf>
    <xf numFmtId="0" fontId="10" fillId="13" borderId="2" applyProtection="0">
      <alignment horizontal="left" vertical="top" indent="1"/>
    </xf>
    <xf numFmtId="0" fontId="10" fillId="28" borderId="1" applyProtection="0">
      <alignment horizontal="left" vertical="center" indent="1"/>
    </xf>
    <xf numFmtId="0" fontId="10" fillId="6" borderId="2" applyProtection="0">
      <alignment horizontal="left" vertical="top" indent="1"/>
    </xf>
    <xf numFmtId="0" fontId="10" fillId="29" borderId="1" applyProtection="0">
      <alignment horizontal="left" vertical="center" indent="1"/>
    </xf>
    <xf numFmtId="0" fontId="10" fillId="29" borderId="2" applyProtection="0">
      <alignment horizontal="left" vertical="top" indent="1"/>
    </xf>
    <xf numFmtId="0" fontId="10" fillId="12" borderId="1" applyProtection="0">
      <alignment horizontal="left" vertical="center" indent="1"/>
    </xf>
    <xf numFmtId="0" fontId="10" fillId="12" borderId="2" applyProtection="0">
      <alignment horizontal="left" vertical="top" indent="1"/>
    </xf>
    <xf numFmtId="0" fontId="10" fillId="30" borderId="4">
      <protection locked="0"/>
    </xf>
    <xf numFmtId="0" fontId="14" fillId="13" borderId="0" applyBorder="0"/>
    <xf numFmtId="0" fontId="15" fillId="14" borderId="2" applyProtection="0">
      <alignment vertical="center"/>
    </xf>
    <xf numFmtId="0" fontId="16" fillId="0" borderId="5" applyProtection="0">
      <alignment vertical="center"/>
    </xf>
    <xf numFmtId="0" fontId="15" fillId="3" borderId="2" applyProtection="0">
      <alignment horizontal="left" vertical="center" indent="1"/>
    </xf>
    <xf numFmtId="0" fontId="15" fillId="14" borderId="2" applyProtection="0">
      <alignment horizontal="left" vertical="top" indent="1"/>
    </xf>
    <xf numFmtId="0" fontId="10" fillId="0" borderId="1" applyProtection="0">
      <alignment horizontal="right" vertical="center"/>
    </xf>
    <xf numFmtId="0" fontId="11" fillId="30" borderId="1" applyProtection="0">
      <alignment horizontal="right" vertical="center"/>
    </xf>
    <xf numFmtId="0" fontId="10" fillId="21" borderId="1" applyProtection="0">
      <alignment horizontal="left" vertical="center" indent="1"/>
    </xf>
    <xf numFmtId="0" fontId="15" fillId="6" borderId="2" applyProtection="0">
      <alignment horizontal="left" vertical="top" indent="1"/>
    </xf>
    <xf numFmtId="0" fontId="17" fillId="31" borderId="3" applyProtection="0">
      <alignment horizontal="left" vertical="center" indent="1"/>
    </xf>
    <xf numFmtId="0" fontId="16" fillId="0" borderId="5"/>
    <xf numFmtId="0" fontId="18" fillId="30" borderId="1" applyProtection="0">
      <alignment horizontal="right" vertical="center"/>
    </xf>
    <xf numFmtId="0" fontId="19" fillId="0" borderId="0" applyBorder="0" applyProtection="0"/>
  </cellStyleXfs>
  <cellXfs count="247">
    <xf numFmtId="0" fontId="0" fillId="0" borderId="0" xfId="0"/>
    <xf numFmtId="0" fontId="7" fillId="0" borderId="0" xfId="26"/>
    <xf numFmtId="0" fontId="0" fillId="0" borderId="0" xfId="26" applyFont="1" applyAlignment="1">
      <alignment vertical="center"/>
    </xf>
    <xf numFmtId="0" fontId="20" fillId="32" borderId="6" xfId="26" applyFont="1" applyFill="1" applyBorder="1" applyAlignment="1">
      <alignment horizontal="left" vertical="center" wrapText="1"/>
    </xf>
    <xf numFmtId="0" fontId="20" fillId="32" borderId="7" xfId="26" applyFont="1" applyFill="1" applyBorder="1" applyAlignment="1">
      <alignment horizontal="left" vertical="center" wrapText="1"/>
    </xf>
    <xf numFmtId="0" fontId="22" fillId="0" borderId="0" xfId="26" applyFont="1" applyAlignment="1">
      <alignment vertical="center"/>
    </xf>
    <xf numFmtId="0" fontId="23" fillId="30" borderId="3" xfId="27" applyFont="1" applyFill="1" applyBorder="1" applyAlignment="1">
      <alignment horizontal="center" vertical="center" wrapText="1"/>
    </xf>
    <xf numFmtId="0" fontId="23" fillId="30" borderId="8" xfId="27" applyFont="1" applyFill="1" applyBorder="1" applyAlignment="1">
      <alignment horizontal="center" vertical="center"/>
    </xf>
    <xf numFmtId="0" fontId="24" fillId="0" borderId="0" xfId="26" applyFont="1" applyAlignment="1">
      <alignment vertical="center"/>
    </xf>
    <xf numFmtId="165" fontId="23" fillId="30" borderId="3" xfId="23" applyNumberFormat="1" applyFont="1" applyFill="1" applyBorder="1" applyAlignment="1">
      <alignment horizontal="center" vertical="center"/>
    </xf>
    <xf numFmtId="1" fontId="23" fillId="30" borderId="3" xfId="23" applyNumberFormat="1" applyFont="1" applyFill="1" applyBorder="1" applyAlignment="1">
      <alignment horizontal="right" vertical="center"/>
    </xf>
    <xf numFmtId="0" fontId="23" fillId="30" borderId="3" xfId="23" applyFont="1" applyFill="1" applyBorder="1" applyAlignment="1">
      <alignment horizontal="left" vertical="center"/>
    </xf>
    <xf numFmtId="166" fontId="23" fillId="30" borderId="3" xfId="23" applyNumberFormat="1" applyFont="1" applyFill="1" applyBorder="1" applyAlignment="1">
      <alignment horizontal="center" vertical="center"/>
    </xf>
    <xf numFmtId="49" fontId="23" fillId="30" borderId="3" xfId="23" applyNumberFormat="1" applyFont="1" applyFill="1" applyBorder="1" applyAlignment="1">
      <alignment horizontal="center" vertical="center"/>
    </xf>
    <xf numFmtId="49" fontId="0" fillId="0" borderId="0" xfId="0" applyNumberFormat="1"/>
    <xf numFmtId="0" fontId="23" fillId="30" borderId="3" xfId="28" applyFont="1" applyFill="1" applyBorder="1" applyAlignment="1">
      <alignment horizontal="left" vertical="center"/>
    </xf>
    <xf numFmtId="166" fontId="23" fillId="30" borderId="3" xfId="28" applyNumberFormat="1" applyFont="1" applyFill="1" applyBorder="1" applyAlignment="1">
      <alignment horizontal="center" vertical="center"/>
    </xf>
    <xf numFmtId="0" fontId="26" fillId="0" borderId="0" xfId="26" applyFont="1" applyAlignment="1">
      <alignment horizontal="left" vertical="center" wrapText="1"/>
    </xf>
    <xf numFmtId="0" fontId="27" fillId="33" borderId="9" xfId="26" applyFont="1" applyFill="1" applyBorder="1" applyAlignment="1">
      <alignment horizontal="center" vertical="center" wrapText="1"/>
    </xf>
    <xf numFmtId="0" fontId="26" fillId="0" borderId="10" xfId="26" applyFont="1" applyBorder="1" applyAlignment="1">
      <alignment horizontal="center" vertical="center" wrapText="1"/>
    </xf>
    <xf numFmtId="0" fontId="28" fillId="0" borderId="3" xfId="26" applyFont="1" applyBorder="1" applyAlignment="1">
      <alignment horizontal="left" vertical="center" wrapText="1"/>
    </xf>
    <xf numFmtId="3" fontId="26" fillId="14" borderId="3" xfId="26" applyNumberFormat="1" applyFont="1" applyFill="1" applyBorder="1" applyAlignment="1">
      <alignment horizontal="right" vertical="center" wrapText="1"/>
    </xf>
    <xf numFmtId="0" fontId="26" fillId="0" borderId="0" xfId="26" applyFont="1" applyAlignment="1">
      <alignment horizontal="center" vertical="center" wrapText="1"/>
    </xf>
    <xf numFmtId="0" fontId="28" fillId="0" borderId="3" xfId="26" applyFont="1" applyBorder="1" applyAlignment="1">
      <alignment horizontal="center" vertical="center" wrapText="1"/>
    </xf>
    <xf numFmtId="3" fontId="26" fillId="0" borderId="3" xfId="26" applyNumberFormat="1" applyFont="1" applyBorder="1" applyAlignment="1">
      <alignment horizontal="right" vertical="center"/>
    </xf>
    <xf numFmtId="0" fontId="28" fillId="0" borderId="3" xfId="26" applyFont="1" applyBorder="1" applyAlignment="1">
      <alignment horizontal="left" vertical="center"/>
    </xf>
    <xf numFmtId="3" fontId="0" fillId="0" borderId="0" xfId="26" applyNumberFormat="1" applyFont="1" applyAlignment="1">
      <alignment vertical="center"/>
    </xf>
    <xf numFmtId="0" fontId="28" fillId="0" borderId="3" xfId="26" applyFont="1" applyBorder="1" applyAlignment="1">
      <alignment horizontal="center" vertical="center"/>
    </xf>
    <xf numFmtId="3" fontId="26" fillId="14" borderId="3" xfId="26" applyNumberFormat="1" applyFont="1" applyFill="1" applyBorder="1" applyAlignment="1">
      <alignment horizontal="right" vertical="center"/>
    </xf>
    <xf numFmtId="3" fontId="26" fillId="0" borderId="3" xfId="26" applyNumberFormat="1" applyFont="1" applyBorder="1" applyAlignment="1">
      <alignment horizontal="right" vertical="center" wrapText="1"/>
    </xf>
    <xf numFmtId="3" fontId="28" fillId="0" borderId="3" xfId="26" applyNumberFormat="1" applyFont="1" applyBorder="1" applyAlignment="1">
      <alignment horizontal="right" vertical="center" wrapText="1"/>
    </xf>
    <xf numFmtId="0" fontId="26" fillId="0" borderId="3" xfId="26" applyFont="1" applyBorder="1" applyAlignment="1">
      <alignment horizontal="left" vertical="center" wrapText="1"/>
    </xf>
    <xf numFmtId="3" fontId="26" fillId="0" borderId="0" xfId="26" applyNumberFormat="1" applyFont="1" applyAlignment="1">
      <alignment horizontal="right" vertical="center"/>
    </xf>
    <xf numFmtId="3" fontId="26" fillId="30" borderId="3" xfId="26" applyNumberFormat="1" applyFont="1" applyFill="1" applyBorder="1" applyAlignment="1">
      <alignment horizontal="right" vertical="center"/>
    </xf>
    <xf numFmtId="3" fontId="26" fillId="30" borderId="3" xfId="26" applyNumberFormat="1" applyFont="1" applyFill="1" applyBorder="1" applyAlignment="1">
      <alignment horizontal="right" vertical="center" wrapText="1"/>
    </xf>
    <xf numFmtId="3" fontId="29" fillId="0" borderId="0" xfId="26" applyNumberFormat="1" applyFont="1" applyAlignment="1">
      <alignment vertical="center"/>
    </xf>
    <xf numFmtId="0" fontId="30" fillId="0" borderId="0" xfId="26" applyFont="1" applyAlignment="1">
      <alignment vertical="center"/>
    </xf>
    <xf numFmtId="0" fontId="27" fillId="33" borderId="9" xfId="26" applyFont="1" applyFill="1" applyBorder="1" applyAlignment="1">
      <alignment horizontal="left" vertical="center" wrapText="1"/>
    </xf>
    <xf numFmtId="3" fontId="27" fillId="33" borderId="9" xfId="26" applyNumberFormat="1" applyFont="1" applyFill="1" applyBorder="1" applyAlignment="1">
      <alignment horizontal="right" vertical="center"/>
    </xf>
    <xf numFmtId="167" fontId="0" fillId="0" borderId="0" xfId="26" applyNumberFormat="1" applyFont="1" applyAlignment="1">
      <alignment vertical="center"/>
    </xf>
    <xf numFmtId="0" fontId="31" fillId="0" borderId="0" xfId="26" applyFont="1"/>
    <xf numFmtId="0" fontId="31" fillId="0" borderId="0" xfId="26" applyFont="1" applyAlignment="1">
      <alignment vertical="center"/>
    </xf>
    <xf numFmtId="0" fontId="23" fillId="30" borderId="3" xfId="23" applyFont="1" applyFill="1" applyBorder="1"/>
    <xf numFmtId="166" fontId="23" fillId="30" borderId="3" xfId="23" applyNumberFormat="1" applyFont="1" applyFill="1" applyBorder="1" applyAlignment="1">
      <alignment horizontal="left" vertical="center"/>
    </xf>
    <xf numFmtId="165" fontId="23" fillId="34" borderId="3" xfId="23" applyNumberFormat="1" applyFont="1" applyFill="1" applyBorder="1" applyAlignment="1">
      <alignment horizontal="center" vertical="center"/>
    </xf>
    <xf numFmtId="1" fontId="23" fillId="34" borderId="3" xfId="23" applyNumberFormat="1" applyFont="1" applyFill="1" applyBorder="1" applyAlignment="1">
      <alignment horizontal="right" vertical="center"/>
    </xf>
    <xf numFmtId="0" fontId="23" fillId="34" borderId="3" xfId="23" applyFont="1" applyFill="1" applyBorder="1" applyAlignment="1">
      <alignment horizontal="left" vertical="center"/>
    </xf>
    <xf numFmtId="166" fontId="23" fillId="34" borderId="3" xfId="23" applyNumberFormat="1" applyFont="1" applyFill="1" applyBorder="1" applyAlignment="1">
      <alignment horizontal="center" vertical="center"/>
    </xf>
    <xf numFmtId="49" fontId="23" fillId="34" borderId="3" xfId="23" applyNumberFormat="1" applyFont="1" applyFill="1" applyBorder="1" applyAlignment="1">
      <alignment horizontal="center" vertical="center"/>
    </xf>
    <xf numFmtId="49" fontId="0" fillId="34" borderId="0" xfId="0" applyNumberFormat="1" applyFill="1"/>
    <xf numFmtId="166" fontId="23" fillId="34" borderId="3" xfId="23" applyNumberFormat="1" applyFont="1" applyFill="1" applyBorder="1" applyAlignment="1">
      <alignment horizontal="left" vertical="center"/>
    </xf>
    <xf numFmtId="0" fontId="0" fillId="34" borderId="0" xfId="0" applyFill="1"/>
    <xf numFmtId="4" fontId="0" fillId="0" borderId="0" xfId="0" applyNumberFormat="1"/>
    <xf numFmtId="0" fontId="24" fillId="0" borderId="0" xfId="0" applyFont="1" applyAlignment="1">
      <alignment vertical="top"/>
    </xf>
    <xf numFmtId="0" fontId="33" fillId="33" borderId="1" xfId="37" applyFont="1" applyFill="1" applyProtection="1">
      <alignment horizontal="left" vertical="center" indent="1"/>
    </xf>
    <xf numFmtId="3" fontId="34" fillId="33" borderId="1" xfId="69" applyNumberFormat="1" applyFont="1" applyFill="1" applyAlignment="1" applyProtection="1">
      <alignment horizontal="center" vertical="center" wrapText="1"/>
    </xf>
    <xf numFmtId="0" fontId="35" fillId="33" borderId="9" xfId="26" applyFont="1" applyFill="1" applyBorder="1" applyAlignment="1">
      <alignment horizontal="center" vertical="center" wrapText="1"/>
    </xf>
    <xf numFmtId="4" fontId="33" fillId="33" borderId="12" xfId="69" applyNumberFormat="1" applyFont="1" applyFill="1" applyBorder="1" applyAlignment="1" applyProtection="1">
      <alignment horizontal="center" vertical="center" wrapText="1"/>
    </xf>
    <xf numFmtId="0" fontId="36" fillId="0" borderId="1" xfId="69" applyFont="1" applyFill="1" applyProtection="1">
      <alignment horizontal="left" vertical="center" indent="1"/>
    </xf>
    <xf numFmtId="0" fontId="5" fillId="32" borderId="1" xfId="69" applyFont="1" applyFill="1" applyProtection="1">
      <alignment horizontal="left" vertical="center" indent="1"/>
    </xf>
    <xf numFmtId="0" fontId="36" fillId="32" borderId="1" xfId="69" applyFont="1" applyFill="1" applyAlignment="1" applyProtection="1">
      <alignment horizontal="center" vertical="center"/>
    </xf>
    <xf numFmtId="0" fontId="36" fillId="32" borderId="1" xfId="69" applyFont="1" applyFill="1" applyProtection="1">
      <alignment horizontal="left" vertical="center" indent="1"/>
    </xf>
    <xf numFmtId="0" fontId="36" fillId="30" borderId="1" xfId="69" applyFont="1" applyFill="1" applyAlignment="1" applyProtection="1">
      <alignment horizontal="center" vertical="center"/>
      <protection locked="0"/>
    </xf>
    <xf numFmtId="0" fontId="5" fillId="32" borderId="1" xfId="0" applyFont="1" applyFill="1" applyBorder="1"/>
    <xf numFmtId="3" fontId="5" fillId="0" borderId="1" xfId="67" applyNumberFormat="1" applyFont="1" applyProtection="1">
      <alignment horizontal="right" vertical="center"/>
      <protection locked="0"/>
    </xf>
    <xf numFmtId="3" fontId="33" fillId="33" borderId="1" xfId="69" applyNumberFormat="1" applyFont="1" applyFill="1" applyAlignment="1" applyProtection="1">
      <alignment horizontal="left" vertical="center" wrapText="1" indent="1"/>
    </xf>
    <xf numFmtId="0" fontId="33" fillId="33" borderId="13" xfId="37" applyFont="1" applyFill="1" applyBorder="1" applyProtection="1">
      <alignment horizontal="left" vertical="center" indent="1"/>
    </xf>
    <xf numFmtId="0" fontId="0" fillId="0" borderId="1" xfId="0" applyBorder="1"/>
    <xf numFmtId="0" fontId="37" fillId="0" borderId="1" xfId="0" applyFont="1" applyBorder="1"/>
    <xf numFmtId="0" fontId="5" fillId="0" borderId="0" xfId="69" applyFont="1" applyFill="1" applyBorder="1" applyProtection="1">
      <alignment horizontal="left" vertical="center" indent="1"/>
    </xf>
    <xf numFmtId="0" fontId="5" fillId="0" borderId="1" xfId="69" applyFont="1" applyFill="1" applyProtection="1">
      <alignment horizontal="left" vertical="center" indent="1"/>
    </xf>
    <xf numFmtId="0" fontId="38" fillId="0" borderId="1" xfId="69" applyFont="1" applyFill="1" applyProtection="1">
      <alignment horizontal="left" vertical="center" indent="1"/>
    </xf>
    <xf numFmtId="0" fontId="30" fillId="0" borderId="0" xfId="0" applyFont="1"/>
    <xf numFmtId="0" fontId="0" fillId="0" borderId="0" xfId="0" applyProtection="1">
      <protection locked="0"/>
    </xf>
    <xf numFmtId="0" fontId="5" fillId="0" borderId="1" xfId="69" applyFont="1" applyFill="1" applyAlignment="1" applyProtection="1">
      <alignment horizontal="center" vertical="center"/>
      <protection locked="0"/>
    </xf>
    <xf numFmtId="0" fontId="5" fillId="0" borderId="1" xfId="67" applyFont="1" applyAlignment="1" applyProtection="1">
      <alignment horizontal="center" vertical="center"/>
      <protection locked="0"/>
    </xf>
    <xf numFmtId="0" fontId="31" fillId="30" borderId="0" xfId="0" applyFont="1" applyFill="1"/>
    <xf numFmtId="0" fontId="31" fillId="0" borderId="0" xfId="0" applyFont="1"/>
    <xf numFmtId="0" fontId="39" fillId="0" borderId="3" xfId="29" applyFont="1" applyBorder="1" applyAlignment="1">
      <alignment horizontal="left" vertical="center"/>
    </xf>
    <xf numFmtId="0" fontId="40" fillId="0" borderId="0" xfId="23" applyFont="1" applyAlignment="1">
      <alignment vertical="center"/>
    </xf>
    <xf numFmtId="0" fontId="40" fillId="0" borderId="0" xfId="23" applyFont="1" applyAlignment="1">
      <alignment horizontal="center" vertical="center"/>
    </xf>
    <xf numFmtId="1" fontId="29" fillId="0" borderId="0" xfId="23" applyNumberFormat="1" applyFont="1" applyAlignment="1">
      <alignment vertical="center" wrapText="1"/>
    </xf>
    <xf numFmtId="0" fontId="29" fillId="0" borderId="0" xfId="23" applyFont="1" applyAlignment="1">
      <alignment vertical="center"/>
    </xf>
    <xf numFmtId="0" fontId="29" fillId="0" borderId="0" xfId="23" applyFont="1" applyAlignment="1">
      <alignment horizontal="right" vertical="center"/>
    </xf>
    <xf numFmtId="1" fontId="42" fillId="33" borderId="9" xfId="23" applyNumberFormat="1" applyFont="1" applyFill="1" applyBorder="1" applyAlignment="1">
      <alignment horizontal="center" vertical="center" wrapText="1"/>
    </xf>
    <xf numFmtId="1" fontId="42" fillId="33" borderId="9" xfId="23" applyNumberFormat="1" applyFont="1" applyFill="1" applyBorder="1" applyAlignment="1">
      <alignment horizontal="left" vertical="center" wrapText="1"/>
    </xf>
    <xf numFmtId="0" fontId="22" fillId="33" borderId="9" xfId="23" applyFont="1" applyFill="1" applyBorder="1" applyAlignment="1">
      <alignment horizontal="center" vertical="center" wrapText="1"/>
    </xf>
    <xf numFmtId="0" fontId="42" fillId="33" borderId="9" xfId="23" applyFont="1" applyFill="1" applyBorder="1" applyAlignment="1">
      <alignment horizontal="center" vertical="center" wrapText="1"/>
    </xf>
    <xf numFmtId="49" fontId="40" fillId="0" borderId="3" xfId="23" applyNumberFormat="1" applyFont="1" applyBorder="1" applyAlignment="1">
      <alignment horizontal="left"/>
    </xf>
    <xf numFmtId="0" fontId="29" fillId="0" borderId="3" xfId="30" applyFont="1" applyBorder="1" applyAlignment="1">
      <alignment horizontal="left" vertical="center" wrapText="1"/>
    </xf>
    <xf numFmtId="3" fontId="42" fillId="33" borderId="9" xfId="23" applyNumberFormat="1" applyFont="1" applyFill="1" applyBorder="1" applyAlignment="1">
      <alignment horizontal="right"/>
    </xf>
    <xf numFmtId="3" fontId="40" fillId="0" borderId="3" xfId="23" applyNumberFormat="1" applyFont="1" applyBorder="1" applyAlignment="1" applyProtection="1">
      <alignment vertical="center"/>
      <protection locked="0"/>
    </xf>
    <xf numFmtId="49" fontId="39" fillId="14" borderId="3" xfId="23" applyNumberFormat="1" applyFont="1" applyFill="1" applyBorder="1" applyAlignment="1">
      <alignment horizontal="left"/>
    </xf>
    <xf numFmtId="0" fontId="44" fillId="14" borderId="3" xfId="30" applyFont="1" applyFill="1" applyBorder="1" applyAlignment="1">
      <alignment horizontal="left" vertical="center" wrapText="1"/>
    </xf>
    <xf numFmtId="3" fontId="39" fillId="14" borderId="3" xfId="23" applyNumberFormat="1" applyFont="1" applyFill="1" applyBorder="1" applyAlignment="1">
      <alignment vertical="center"/>
    </xf>
    <xf numFmtId="168" fontId="40" fillId="0" borderId="3" xfId="23" applyNumberFormat="1" applyFont="1" applyBorder="1" applyAlignment="1" applyProtection="1">
      <alignment vertical="center"/>
      <protection locked="0"/>
    </xf>
    <xf numFmtId="49" fontId="40" fillId="0" borderId="8" xfId="23" applyNumberFormat="1" applyFont="1" applyBorder="1" applyAlignment="1">
      <alignment horizontal="left"/>
    </xf>
    <xf numFmtId="0" fontId="29" fillId="0" borderId="8" xfId="30" applyFont="1" applyBorder="1" applyAlignment="1">
      <alignment horizontal="left" vertical="center" wrapText="1"/>
    </xf>
    <xf numFmtId="3" fontId="40" fillId="14" borderId="8" xfId="23" applyNumberFormat="1" applyFont="1" applyFill="1" applyBorder="1" applyAlignment="1">
      <alignment vertical="center"/>
    </xf>
    <xf numFmtId="49" fontId="39" fillId="14" borderId="14" xfId="23" applyNumberFormat="1" applyFont="1" applyFill="1" applyBorder="1" applyAlignment="1">
      <alignment horizontal="left"/>
    </xf>
    <xf numFmtId="0" fontId="44" fillId="14" borderId="14" xfId="30" applyFont="1" applyFill="1" applyBorder="1" applyAlignment="1">
      <alignment horizontal="left" vertical="center" wrapText="1"/>
    </xf>
    <xf numFmtId="3" fontId="42" fillId="33" borderId="15" xfId="23" applyNumberFormat="1" applyFont="1" applyFill="1" applyBorder="1" applyAlignment="1">
      <alignment horizontal="right"/>
    </xf>
    <xf numFmtId="3" fontId="39" fillId="14" borderId="14" xfId="23" applyNumberFormat="1" applyFont="1" applyFill="1" applyBorder="1" applyAlignment="1">
      <alignment vertical="center"/>
    </xf>
    <xf numFmtId="49" fontId="40" fillId="0" borderId="16" xfId="23" applyNumberFormat="1" applyFont="1" applyBorder="1" applyAlignment="1">
      <alignment horizontal="left"/>
    </xf>
    <xf numFmtId="0" fontId="29" fillId="0" borderId="16" xfId="30" applyFont="1" applyBorder="1" applyAlignment="1">
      <alignment horizontal="left" vertical="center" wrapText="1"/>
    </xf>
    <xf numFmtId="3" fontId="42" fillId="33" borderId="17" xfId="23" applyNumberFormat="1" applyFont="1" applyFill="1" applyBorder="1" applyAlignment="1">
      <alignment horizontal="right"/>
    </xf>
    <xf numFmtId="3" fontId="40" fillId="0" borderId="16" xfId="23" applyNumberFormat="1" applyFont="1" applyBorder="1" applyAlignment="1">
      <alignment vertical="center"/>
    </xf>
    <xf numFmtId="49" fontId="29" fillId="0" borderId="3" xfId="23" applyNumberFormat="1" applyFont="1" applyBorder="1" applyAlignment="1">
      <alignment horizontal="left"/>
    </xf>
    <xf numFmtId="49" fontId="45" fillId="14" borderId="3" xfId="23" applyNumberFormat="1" applyFont="1" applyFill="1" applyBorder="1" applyAlignment="1">
      <alignment horizontal="left"/>
    </xf>
    <xf numFmtId="0" fontId="46" fillId="14" borderId="3" xfId="30" applyFont="1" applyFill="1" applyBorder="1" applyAlignment="1">
      <alignment horizontal="left" vertical="center" wrapText="1"/>
    </xf>
    <xf numFmtId="3" fontId="45" fillId="14" borderId="3" xfId="23" applyNumberFormat="1" applyFont="1" applyFill="1" applyBorder="1" applyAlignment="1">
      <alignment vertical="center"/>
    </xf>
    <xf numFmtId="0" fontId="40" fillId="0" borderId="3" xfId="31" applyFont="1" applyBorder="1" applyAlignment="1">
      <alignment horizontal="left" wrapText="1"/>
    </xf>
    <xf numFmtId="1" fontId="29" fillId="0" borderId="3" xfId="23" applyNumberFormat="1" applyFont="1" applyBorder="1" applyAlignment="1">
      <alignment horizontal="left" vertical="center" wrapText="1"/>
    </xf>
    <xf numFmtId="0" fontId="29" fillId="0" borderId="3" xfId="32" applyFont="1" applyBorder="1" applyAlignment="1">
      <alignment horizontal="left" vertical="center" wrapText="1"/>
    </xf>
    <xf numFmtId="3" fontId="42" fillId="33" borderId="9" xfId="23" applyNumberFormat="1" applyFont="1" applyFill="1" applyBorder="1" applyAlignment="1">
      <alignment vertical="center"/>
    </xf>
    <xf numFmtId="0" fontId="40" fillId="0" borderId="0" xfId="23" applyFont="1" applyAlignment="1">
      <alignment vertical="center" wrapText="1"/>
    </xf>
    <xf numFmtId="0" fontId="40" fillId="0" borderId="0" xfId="23" applyFont="1" applyAlignment="1">
      <alignment horizontal="center" vertical="center" wrapText="1"/>
    </xf>
    <xf numFmtId="0" fontId="40" fillId="0" borderId="0" xfId="23" applyFont="1" applyAlignment="1">
      <alignment horizontal="left" vertical="center" wrapText="1"/>
    </xf>
    <xf numFmtId="3" fontId="40" fillId="0" borderId="3" xfId="23" applyNumberFormat="1" applyFont="1" applyBorder="1" applyAlignment="1">
      <alignment vertical="center"/>
    </xf>
    <xf numFmtId="0" fontId="29" fillId="0" borderId="3" xfId="30" applyFont="1" applyBorder="1" applyAlignment="1">
      <alignment horizontal="left" vertical="center"/>
    </xf>
    <xf numFmtId="0" fontId="39" fillId="0" borderId="0" xfId="23" applyFont="1" applyAlignment="1">
      <alignment vertical="center"/>
    </xf>
    <xf numFmtId="0" fontId="47" fillId="0" borderId="0" xfId="23" applyFont="1" applyAlignment="1">
      <alignment horizontal="center" vertical="center"/>
    </xf>
    <xf numFmtId="0" fontId="48" fillId="0" borderId="0" xfId="23" applyFont="1" applyAlignment="1">
      <alignment vertical="center"/>
    </xf>
    <xf numFmtId="0" fontId="49" fillId="0" borderId="0" xfId="23" applyFont="1" applyAlignment="1">
      <alignment horizontal="center" vertical="center"/>
    </xf>
    <xf numFmtId="0" fontId="49" fillId="0" borderId="0" xfId="23" applyFont="1" applyAlignment="1">
      <alignment vertical="center"/>
    </xf>
    <xf numFmtId="0" fontId="39" fillId="0" borderId="0" xfId="23" applyFont="1" applyAlignment="1">
      <alignment horizontal="center" vertical="center"/>
    </xf>
    <xf numFmtId="0" fontId="39" fillId="0" borderId="0" xfId="23" applyFont="1" applyAlignment="1">
      <alignment horizontal="left" vertical="center"/>
    </xf>
    <xf numFmtId="0" fontId="48" fillId="0" borderId="0" xfId="23" applyFont="1" applyAlignment="1">
      <alignment horizontal="left" vertical="center" wrapText="1"/>
    </xf>
    <xf numFmtId="0" fontId="49" fillId="0" borderId="0" xfId="23" applyFont="1" applyAlignment="1">
      <alignment horizontal="left" vertical="center" wrapText="1"/>
    </xf>
    <xf numFmtId="0" fontId="39" fillId="30" borderId="0" xfId="23" applyFont="1" applyFill="1" applyAlignment="1">
      <alignment horizontal="center" vertical="center"/>
    </xf>
    <xf numFmtId="0" fontId="40" fillId="30" borderId="0" xfId="23" applyFont="1" applyFill="1" applyAlignment="1">
      <alignment vertical="center" wrapText="1"/>
    </xf>
    <xf numFmtId="0" fontId="40" fillId="30" borderId="0" xfId="23" applyFont="1" applyFill="1" applyAlignment="1">
      <alignment vertical="center"/>
    </xf>
    <xf numFmtId="0" fontId="40" fillId="0" borderId="0" xfId="23" applyFont="1"/>
    <xf numFmtId="0" fontId="4" fillId="0" borderId="0" xfId="23"/>
    <xf numFmtId="0" fontId="39" fillId="0" borderId="0" xfId="23" applyFont="1"/>
    <xf numFmtId="0" fontId="50" fillId="29" borderId="3" xfId="23" applyFont="1" applyFill="1" applyBorder="1" applyAlignment="1">
      <alignment vertical="center" wrapText="1"/>
    </xf>
    <xf numFmtId="3" fontId="50" fillId="29" borderId="3" xfId="23" applyNumberFormat="1" applyFont="1" applyFill="1" applyBorder="1" applyAlignment="1">
      <alignment vertical="center"/>
    </xf>
    <xf numFmtId="3" fontId="50" fillId="29" borderId="3" xfId="23" applyNumberFormat="1" applyFont="1" applyFill="1" applyBorder="1" applyAlignment="1">
      <alignment vertical="center" wrapText="1"/>
    </xf>
    <xf numFmtId="0" fontId="4" fillId="0" borderId="0" xfId="23" applyAlignment="1">
      <alignment vertical="center"/>
    </xf>
    <xf numFmtId="0" fontId="22" fillId="20" borderId="0" xfId="23" applyFont="1" applyFill="1" applyAlignment="1">
      <alignment vertical="center"/>
    </xf>
    <xf numFmtId="3" fontId="44" fillId="5" borderId="3" xfId="23" applyNumberFormat="1" applyFont="1" applyFill="1" applyBorder="1" applyAlignment="1">
      <alignment horizontal="left" vertical="center"/>
    </xf>
    <xf numFmtId="3" fontId="44" fillId="5" borderId="3" xfId="23" applyNumberFormat="1" applyFont="1" applyFill="1" applyBorder="1" applyAlignment="1">
      <alignment vertical="center" wrapText="1"/>
    </xf>
    <xf numFmtId="3" fontId="39" fillId="5" borderId="3" xfId="23" applyNumberFormat="1" applyFont="1" applyFill="1" applyBorder="1"/>
    <xf numFmtId="3" fontId="44" fillId="5" borderId="3" xfId="23" applyNumberFormat="1" applyFont="1" applyFill="1" applyBorder="1" applyAlignment="1">
      <alignment vertical="center"/>
    </xf>
    <xf numFmtId="0" fontId="44" fillId="0" borderId="0" xfId="23" applyFont="1" applyAlignment="1">
      <alignment vertical="center"/>
    </xf>
    <xf numFmtId="3" fontId="46" fillId="30" borderId="3" xfId="23" applyNumberFormat="1" applyFont="1" applyFill="1" applyBorder="1" applyAlignment="1">
      <alignment horizontal="center" vertical="center"/>
    </xf>
    <xf numFmtId="3" fontId="46" fillId="30" borderId="3" xfId="23" applyNumberFormat="1" applyFont="1" applyFill="1" applyBorder="1" applyAlignment="1">
      <alignment vertical="center" wrapText="1"/>
    </xf>
    <xf numFmtId="3" fontId="45" fillId="14" borderId="3" xfId="23" applyNumberFormat="1" applyFont="1" applyFill="1" applyBorder="1"/>
    <xf numFmtId="3" fontId="46" fillId="14" borderId="3" xfId="23" applyNumberFormat="1" applyFont="1" applyFill="1" applyBorder="1" applyAlignment="1">
      <alignment vertical="center"/>
    </xf>
    <xf numFmtId="0" fontId="47" fillId="0" borderId="0" xfId="23" applyFont="1"/>
    <xf numFmtId="0" fontId="51" fillId="0" borderId="0" xfId="23" applyFont="1"/>
    <xf numFmtId="0" fontId="46" fillId="0" borderId="0" xfId="23" applyFont="1" applyAlignment="1">
      <alignment vertical="center"/>
    </xf>
    <xf numFmtId="0" fontId="39" fillId="0" borderId="3" xfId="23" applyFont="1" applyBorder="1"/>
    <xf numFmtId="3" fontId="39" fillId="14" borderId="3" xfId="23" applyNumberFormat="1" applyFont="1" applyFill="1" applyBorder="1"/>
    <xf numFmtId="3" fontId="29" fillId="30" borderId="3" xfId="23" applyNumberFormat="1" applyFont="1" applyFill="1" applyBorder="1" applyAlignment="1">
      <alignment vertical="center"/>
    </xf>
    <xf numFmtId="0" fontId="44" fillId="0" borderId="3" xfId="23" applyFont="1" applyBorder="1" applyAlignment="1">
      <alignment vertical="center"/>
    </xf>
    <xf numFmtId="0" fontId="39" fillId="0" borderId="3" xfId="23" applyFont="1" applyBorder="1" applyAlignment="1">
      <alignment vertical="center"/>
    </xf>
    <xf numFmtId="0" fontId="46" fillId="0" borderId="3" xfId="23" applyFont="1" applyBorder="1" applyAlignment="1">
      <alignment horizontal="center" vertical="center"/>
    </xf>
    <xf numFmtId="0" fontId="45" fillId="0" borderId="3" xfId="23" applyFont="1" applyBorder="1" applyAlignment="1">
      <alignment vertical="center"/>
    </xf>
    <xf numFmtId="0" fontId="45" fillId="0" borderId="0" xfId="23" applyFont="1"/>
    <xf numFmtId="0" fontId="52" fillId="0" borderId="0" xfId="23" applyFont="1"/>
    <xf numFmtId="0" fontId="44" fillId="0" borderId="3" xfId="29" applyFont="1" applyBorder="1" applyAlignment="1">
      <alignment horizontal="left" vertical="center" wrapText="1"/>
    </xf>
    <xf numFmtId="0" fontId="45" fillId="16" borderId="0" xfId="23" applyFont="1" applyFill="1" applyAlignment="1">
      <alignment horizontal="right" vertical="center"/>
    </xf>
    <xf numFmtId="0" fontId="44" fillId="0" borderId="3" xfId="23" applyFont="1" applyBorder="1" applyAlignment="1">
      <alignment horizontal="right" vertical="center"/>
    </xf>
    <xf numFmtId="0" fontId="39" fillId="16" borderId="0" xfId="23" applyFont="1" applyFill="1" applyAlignment="1">
      <alignment horizontal="right" vertical="center"/>
    </xf>
    <xf numFmtId="0" fontId="46" fillId="0" borderId="3" xfId="23" applyFont="1" applyBorder="1" applyAlignment="1">
      <alignment vertical="center"/>
    </xf>
    <xf numFmtId="0" fontId="45" fillId="16" borderId="0" xfId="23" applyFont="1" applyFill="1" applyAlignment="1">
      <alignment vertical="center"/>
    </xf>
    <xf numFmtId="0" fontId="39" fillId="16" borderId="0" xfId="23" applyFont="1" applyFill="1" applyAlignment="1">
      <alignment vertical="center"/>
    </xf>
    <xf numFmtId="0" fontId="44" fillId="5" borderId="3" xfId="23" applyFont="1" applyFill="1" applyBorder="1" applyAlignment="1">
      <alignment horizontal="left" vertical="center"/>
    </xf>
    <xf numFmtId="0" fontId="39" fillId="5" borderId="3" xfId="23" applyFont="1" applyFill="1" applyBorder="1" applyAlignment="1">
      <alignment vertical="center"/>
    </xf>
    <xf numFmtId="3" fontId="39" fillId="5" borderId="3" xfId="23" applyNumberFormat="1" applyFont="1" applyFill="1" applyBorder="1" applyAlignment="1">
      <alignment vertical="center"/>
    </xf>
    <xf numFmtId="0" fontId="39" fillId="0" borderId="3" xfId="23" applyFont="1" applyBorder="1" applyAlignment="1">
      <alignment horizontal="right"/>
    </xf>
    <xf numFmtId="3" fontId="44" fillId="5" borderId="18" xfId="23" applyNumberFormat="1" applyFont="1" applyFill="1" applyBorder="1" applyAlignment="1">
      <alignment vertical="center"/>
    </xf>
    <xf numFmtId="3" fontId="39" fillId="14" borderId="19" xfId="23" applyNumberFormat="1" applyFont="1" applyFill="1" applyBorder="1"/>
    <xf numFmtId="3" fontId="39" fillId="14" borderId="19" xfId="23" applyNumberFormat="1" applyFont="1" applyFill="1" applyBorder="1" applyAlignment="1">
      <alignment vertical="center"/>
    </xf>
    <xf numFmtId="3" fontId="39" fillId="5" borderId="8" xfId="23" applyNumberFormat="1" applyFont="1" applyFill="1" applyBorder="1" applyAlignment="1">
      <alignment vertical="center"/>
    </xf>
    <xf numFmtId="0" fontId="53" fillId="0" borderId="0" xfId="0" applyFont="1"/>
    <xf numFmtId="0" fontId="54" fillId="0" borderId="0" xfId="0" applyFont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3" fontId="0" fillId="0" borderId="24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0" fontId="0" fillId="0" borderId="29" xfId="0" applyBorder="1"/>
    <xf numFmtId="0" fontId="0" fillId="0" borderId="5" xfId="0" applyBorder="1"/>
    <xf numFmtId="0" fontId="0" fillId="0" borderId="3" xfId="0" applyBorder="1"/>
    <xf numFmtId="0" fontId="0" fillId="0" borderId="30" xfId="0" applyBorder="1"/>
    <xf numFmtId="0" fontId="0" fillId="0" borderId="31" xfId="0" applyBorder="1"/>
    <xf numFmtId="3" fontId="0" fillId="0" borderId="29" xfId="0" applyNumberFormat="1" applyBorder="1"/>
    <xf numFmtId="3" fontId="0" fillId="0" borderId="3" xfId="0" applyNumberFormat="1" applyBorder="1"/>
    <xf numFmtId="3" fontId="0" fillId="0" borderId="30" xfId="0" applyNumberFormat="1" applyBorder="1"/>
    <xf numFmtId="0" fontId="0" fillId="0" borderId="32" xfId="0" applyBorder="1"/>
    <xf numFmtId="0" fontId="0" fillId="0" borderId="33" xfId="0" applyBorder="1"/>
    <xf numFmtId="0" fontId="0" fillId="0" borderId="14" xfId="0" applyBorder="1"/>
    <xf numFmtId="0" fontId="0" fillId="0" borderId="34" xfId="0" applyBorder="1"/>
    <xf numFmtId="0" fontId="0" fillId="0" borderId="35" xfId="0" applyBorder="1"/>
    <xf numFmtId="3" fontId="0" fillId="0" borderId="32" xfId="0" applyNumberFormat="1" applyBorder="1"/>
    <xf numFmtId="3" fontId="0" fillId="0" borderId="14" xfId="0" applyNumberFormat="1" applyBorder="1"/>
    <xf numFmtId="3" fontId="0" fillId="0" borderId="34" xfId="0" applyNumberFormat="1" applyBorder="1"/>
    <xf numFmtId="3" fontId="0" fillId="0" borderId="0" xfId="0" applyNumberFormat="1"/>
    <xf numFmtId="49" fontId="54" fillId="0" borderId="0" xfId="0" applyNumberFormat="1" applyFont="1"/>
    <xf numFmtId="49" fontId="54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54" fillId="0" borderId="0" xfId="0" applyFont="1" applyAlignment="1">
      <alignment horizontal="right" vertical="center" wrapText="1"/>
    </xf>
    <xf numFmtId="0" fontId="54" fillId="0" borderId="0" xfId="0" applyFont="1" applyAlignment="1">
      <alignment vertical="center" wrapText="1"/>
    </xf>
    <xf numFmtId="169" fontId="9" fillId="0" borderId="0" xfId="0" applyNumberFormat="1" applyFont="1" applyAlignment="1">
      <alignment vertical="center" wrapText="1"/>
    </xf>
    <xf numFmtId="0" fontId="55" fillId="0" borderId="0" xfId="0" applyFont="1"/>
    <xf numFmtId="0" fontId="35" fillId="33" borderId="1" xfId="26" applyFont="1" applyFill="1" applyBorder="1" applyAlignment="1">
      <alignment horizontal="center" vertical="center" wrapText="1"/>
    </xf>
    <xf numFmtId="0" fontId="5" fillId="0" borderId="1" xfId="67" applyFont="1" applyProtection="1">
      <alignment horizontal="right" vertical="center"/>
      <protection locked="0"/>
    </xf>
    <xf numFmtId="14" fontId="5" fillId="0" borderId="1" xfId="67" applyNumberFormat="1" applyFont="1" applyProtection="1">
      <alignment horizontal="right" vertical="center"/>
      <protection locked="0"/>
    </xf>
    <xf numFmtId="170" fontId="10" fillId="28" borderId="1" xfId="55" applyNumberFormat="1" applyAlignment="1" applyProtection="1">
      <alignment horizontal="left" vertical="center" indent="4"/>
    </xf>
    <xf numFmtId="0" fontId="10" fillId="28" borderId="1" xfId="55" applyProtection="1">
      <alignment horizontal="left" vertical="center" indent="1"/>
    </xf>
    <xf numFmtId="170" fontId="10" fillId="0" borderId="1" xfId="55" applyNumberFormat="1" applyFill="1" applyAlignment="1" applyProtection="1">
      <alignment horizontal="left" vertical="center" indent="4"/>
    </xf>
    <xf numFmtId="0" fontId="10" fillId="0" borderId="1" xfId="55" applyFill="1" applyProtection="1">
      <alignment horizontal="left" vertical="center" indent="1"/>
    </xf>
    <xf numFmtId="170" fontId="10" fillId="3" borderId="1" xfId="53" applyNumberFormat="1" applyAlignment="1" applyProtection="1">
      <alignment horizontal="left" vertical="center" indent="3"/>
    </xf>
    <xf numFmtId="0" fontId="10" fillId="3" borderId="1" xfId="53" applyProtection="1">
      <alignment horizontal="left" vertical="center" indent="1"/>
    </xf>
    <xf numFmtId="170" fontId="10" fillId="29" borderId="1" xfId="57" applyNumberFormat="1" applyAlignment="1" applyProtection="1">
      <alignment horizontal="left" vertical="center" indent="5"/>
    </xf>
    <xf numFmtId="0" fontId="10" fillId="29" borderId="1" xfId="57" applyProtection="1">
      <alignment horizontal="left" vertical="center" indent="1"/>
    </xf>
    <xf numFmtId="171" fontId="10" fillId="12" borderId="1" xfId="59" applyNumberFormat="1" applyAlignment="1" applyProtection="1">
      <alignment horizontal="left" vertical="center" indent="7"/>
    </xf>
    <xf numFmtId="0" fontId="10" fillId="12" borderId="1" xfId="59" applyProtection="1">
      <alignment horizontal="left" vertical="center" indent="1"/>
    </xf>
    <xf numFmtId="170" fontId="10" fillId="12" borderId="1" xfId="53" applyNumberFormat="1" applyFill="1" applyAlignment="1" applyProtection="1">
      <alignment horizontal="left" vertical="center" indent="3"/>
    </xf>
    <xf numFmtId="0" fontId="10" fillId="12" borderId="1" xfId="53" applyFill="1" applyProtection="1">
      <alignment horizontal="left" vertical="center" indent="1"/>
    </xf>
    <xf numFmtId="170" fontId="10" fillId="12" borderId="1" xfId="55" applyNumberFormat="1" applyFill="1" applyAlignment="1" applyProtection="1">
      <alignment horizontal="left" vertical="center" indent="4"/>
    </xf>
    <xf numFmtId="0" fontId="10" fillId="12" borderId="1" xfId="55" applyFill="1" applyProtection="1">
      <alignment horizontal="left" vertical="center" indent="1"/>
    </xf>
    <xf numFmtId="170" fontId="10" fillId="12" borderId="1" xfId="57" applyNumberFormat="1" applyFill="1" applyAlignment="1" applyProtection="1">
      <alignment horizontal="left" vertical="center" indent="5"/>
    </xf>
    <xf numFmtId="0" fontId="10" fillId="12" borderId="1" xfId="57" applyFill="1" applyProtection="1">
      <alignment horizontal="left" vertical="center" indent="1"/>
    </xf>
    <xf numFmtId="171" fontId="10" fillId="0" borderId="1" xfId="59" applyNumberFormat="1" applyFill="1" applyAlignment="1" applyProtection="1">
      <alignment horizontal="left" vertical="center" indent="7"/>
    </xf>
    <xf numFmtId="0" fontId="10" fillId="0" borderId="1" xfId="59" applyFill="1" applyAlignment="1" applyProtection="1">
      <alignment horizontal="left" vertical="center" wrapText="1" indent="1"/>
    </xf>
    <xf numFmtId="0" fontId="10" fillId="12" borderId="1" xfId="57" applyFill="1" applyAlignment="1" applyProtection="1">
      <alignment horizontal="left" vertical="center" wrapText="1" indent="1"/>
    </xf>
    <xf numFmtId="0" fontId="10" fillId="12" borderId="1" xfId="55" applyFill="1" applyAlignment="1" applyProtection="1">
      <alignment horizontal="left" vertical="center" wrapText="1" indent="1"/>
    </xf>
    <xf numFmtId="0" fontId="20" fillId="0" borderId="6" xfId="26" applyFont="1" applyBorder="1" applyAlignment="1" applyProtection="1">
      <alignment horizontal="center" vertical="center" wrapText="1"/>
      <protection locked="0"/>
    </xf>
    <xf numFmtId="0" fontId="21" fillId="0" borderId="7" xfId="26" applyFont="1" applyBorder="1" applyAlignment="1" applyProtection="1">
      <alignment horizontal="left" vertical="center" wrapText="1"/>
      <protection locked="0"/>
    </xf>
    <xf numFmtId="0" fontId="26" fillId="0" borderId="0" xfId="26" applyFont="1" applyAlignment="1">
      <alignment horizontal="center" vertical="center" wrapText="1"/>
    </xf>
    <xf numFmtId="0" fontId="25" fillId="0" borderId="0" xfId="26" applyFont="1" applyAlignment="1">
      <alignment horizontal="center" vertical="center" wrapText="1"/>
    </xf>
    <xf numFmtId="0" fontId="32" fillId="0" borderId="11" xfId="0" applyFont="1" applyBorder="1"/>
    <xf numFmtId="1" fontId="42" fillId="33" borderId="9" xfId="23" applyNumberFormat="1" applyFont="1" applyFill="1" applyBorder="1" applyAlignment="1">
      <alignment horizontal="center" vertical="center" wrapText="1"/>
    </xf>
    <xf numFmtId="0" fontId="43" fillId="33" borderId="9" xfId="23" applyFont="1" applyFill="1" applyBorder="1" applyAlignment="1">
      <alignment horizontal="center" vertical="center"/>
    </xf>
    <xf numFmtId="0" fontId="41" fillId="0" borderId="0" xfId="23" applyFont="1" applyAlignment="1">
      <alignment horizontal="center" vertical="center" wrapText="1"/>
    </xf>
    <xf numFmtId="0" fontId="25" fillId="0" borderId="0" xfId="23" applyFont="1" applyAlignment="1">
      <alignment horizontal="center"/>
    </xf>
    <xf numFmtId="0" fontId="55" fillId="35" borderId="23" xfId="0" applyFont="1" applyFill="1" applyBorder="1" applyAlignment="1">
      <alignment horizontal="center" vertical="center" wrapText="1"/>
    </xf>
    <xf numFmtId="0" fontId="55" fillId="35" borderId="20" xfId="0" applyFont="1" applyFill="1" applyBorder="1" applyAlignment="1">
      <alignment horizontal="center" vertical="center" wrapText="1"/>
    </xf>
    <xf numFmtId="0" fontId="55" fillId="35" borderId="21" xfId="0" applyFont="1" applyFill="1" applyBorder="1" applyAlignment="1">
      <alignment horizontal="center" vertical="center" wrapText="1"/>
    </xf>
    <xf numFmtId="0" fontId="55" fillId="35" borderId="22" xfId="0" applyFont="1" applyFill="1" applyBorder="1" applyAlignment="1">
      <alignment horizontal="center" vertical="center" wrapText="1"/>
    </xf>
    <xf numFmtId="0" fontId="32" fillId="0" borderId="0" xfId="0" applyFont="1"/>
  </cellXfs>
  <cellStyles count="75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Comma 2" xfId="19" xr:uid="{00000000-0005-0000-0000-000012000000}"/>
    <cellStyle name="Emphasis 1" xfId="20" xr:uid="{00000000-0005-0000-0000-000013000000}"/>
    <cellStyle name="Emphasis 2" xfId="21" xr:uid="{00000000-0005-0000-0000-000014000000}"/>
    <cellStyle name="Emphasis 3" xfId="22" xr:uid="{00000000-0005-0000-0000-000015000000}"/>
    <cellStyle name="Normal" xfId="0" builtinId="0"/>
    <cellStyle name="Normal 2" xfId="23" xr:uid="{00000000-0005-0000-0000-000016000000}"/>
    <cellStyle name="Normal 3" xfId="24" xr:uid="{00000000-0005-0000-0000-000017000000}"/>
    <cellStyle name="Normal 3 3" xfId="25" xr:uid="{00000000-0005-0000-0000-000018000000}"/>
    <cellStyle name="Normal 6" xfId="26" xr:uid="{00000000-0005-0000-0000-000019000000}"/>
    <cellStyle name="Obično_01_ZAGREBAČKA ŽUPANIJA" xfId="27" xr:uid="{00000000-0005-0000-0000-00001B000000}"/>
    <cellStyle name="Obično_14_OSJEČKO-BARANJSKA ŽUPANIJA" xfId="28" xr:uid="{00000000-0005-0000-0000-00001C000000}"/>
    <cellStyle name="Obično_List4" xfId="29" xr:uid="{00000000-0005-0000-0000-00001D000000}"/>
    <cellStyle name="Obično_List7" xfId="30" xr:uid="{00000000-0005-0000-0000-00001E000000}"/>
    <cellStyle name="Obično_List8" xfId="31" xr:uid="{00000000-0005-0000-0000-00001F000000}"/>
    <cellStyle name="Obično_List9" xfId="32" xr:uid="{00000000-0005-0000-0000-000020000000}"/>
    <cellStyle name="SAPBEXaggData" xfId="33" xr:uid="{00000000-0005-0000-0000-000021000000}"/>
    <cellStyle name="SAPBEXaggDataEmph" xfId="34" xr:uid="{00000000-0005-0000-0000-000022000000}"/>
    <cellStyle name="SAPBEXaggItem" xfId="35" xr:uid="{00000000-0005-0000-0000-000023000000}"/>
    <cellStyle name="SAPBEXaggItemX" xfId="36" xr:uid="{00000000-0005-0000-0000-000024000000}"/>
    <cellStyle name="SAPBEXchaText" xfId="37" xr:uid="{00000000-0005-0000-0000-000025000000}"/>
    <cellStyle name="SAPBEXexcBad7" xfId="38" xr:uid="{00000000-0005-0000-0000-000026000000}"/>
    <cellStyle name="SAPBEXexcBad8" xfId="39" xr:uid="{00000000-0005-0000-0000-000027000000}"/>
    <cellStyle name="SAPBEXexcBad9" xfId="40" xr:uid="{00000000-0005-0000-0000-000028000000}"/>
    <cellStyle name="SAPBEXexcCritical4" xfId="41" xr:uid="{00000000-0005-0000-0000-000029000000}"/>
    <cellStyle name="SAPBEXexcCritical5" xfId="42" xr:uid="{00000000-0005-0000-0000-00002A000000}"/>
    <cellStyle name="SAPBEXexcCritical6" xfId="43" xr:uid="{00000000-0005-0000-0000-00002B000000}"/>
    <cellStyle name="SAPBEXexcGood1" xfId="44" xr:uid="{00000000-0005-0000-0000-00002C000000}"/>
    <cellStyle name="SAPBEXexcGood2" xfId="45" xr:uid="{00000000-0005-0000-0000-00002D000000}"/>
    <cellStyle name="SAPBEXexcGood3" xfId="46" xr:uid="{00000000-0005-0000-0000-00002E000000}"/>
    <cellStyle name="SAPBEXfilterDrill" xfId="47" xr:uid="{00000000-0005-0000-0000-00002F000000}"/>
    <cellStyle name="SAPBEXfilterItem" xfId="48" xr:uid="{00000000-0005-0000-0000-000030000000}"/>
    <cellStyle name="SAPBEXfilterText" xfId="49" xr:uid="{00000000-0005-0000-0000-000031000000}"/>
    <cellStyle name="SAPBEXformats" xfId="50" xr:uid="{00000000-0005-0000-0000-000032000000}"/>
    <cellStyle name="SAPBEXheaderItem" xfId="51" xr:uid="{00000000-0005-0000-0000-000033000000}"/>
    <cellStyle name="SAPBEXheaderText" xfId="52" xr:uid="{00000000-0005-0000-0000-000034000000}"/>
    <cellStyle name="SAPBEXHLevel0" xfId="53" xr:uid="{00000000-0005-0000-0000-000035000000}"/>
    <cellStyle name="SAPBEXHLevel0X" xfId="54" xr:uid="{00000000-0005-0000-0000-000036000000}"/>
    <cellStyle name="SAPBEXHLevel1" xfId="55" xr:uid="{00000000-0005-0000-0000-000037000000}"/>
    <cellStyle name="SAPBEXHLevel1X" xfId="56" xr:uid="{00000000-0005-0000-0000-000038000000}"/>
    <cellStyle name="SAPBEXHLevel2" xfId="57" xr:uid="{00000000-0005-0000-0000-000039000000}"/>
    <cellStyle name="SAPBEXHLevel2X" xfId="58" xr:uid="{00000000-0005-0000-0000-00003A000000}"/>
    <cellStyle name="SAPBEXHLevel3" xfId="59" xr:uid="{00000000-0005-0000-0000-00003B000000}"/>
    <cellStyle name="SAPBEXHLevel3X" xfId="60" xr:uid="{00000000-0005-0000-0000-00003C000000}"/>
    <cellStyle name="SAPBEXinputData" xfId="61" xr:uid="{00000000-0005-0000-0000-00003D000000}"/>
    <cellStyle name="SAPBEXItemHeader" xfId="62" xr:uid="{00000000-0005-0000-0000-00003E000000}"/>
    <cellStyle name="SAPBEXresData" xfId="63" xr:uid="{00000000-0005-0000-0000-00003F000000}"/>
    <cellStyle name="SAPBEXresDataEmph" xfId="64" xr:uid="{00000000-0005-0000-0000-000040000000}"/>
    <cellStyle name="SAPBEXresItem" xfId="65" xr:uid="{00000000-0005-0000-0000-000041000000}"/>
    <cellStyle name="SAPBEXresItemX" xfId="66" xr:uid="{00000000-0005-0000-0000-000042000000}"/>
    <cellStyle name="SAPBEXstdData" xfId="67" xr:uid="{00000000-0005-0000-0000-000043000000}"/>
    <cellStyle name="SAPBEXstdDataEmph" xfId="68" xr:uid="{00000000-0005-0000-0000-000044000000}"/>
    <cellStyle name="SAPBEXstdItem" xfId="69" xr:uid="{00000000-0005-0000-0000-000045000000}"/>
    <cellStyle name="SAPBEXstdItemX" xfId="70" xr:uid="{00000000-0005-0000-0000-000046000000}"/>
    <cellStyle name="SAPBEXtitle" xfId="71" xr:uid="{00000000-0005-0000-0000-000047000000}"/>
    <cellStyle name="SAPBEXunassignedItem" xfId="72" xr:uid="{00000000-0005-0000-0000-000048000000}"/>
    <cellStyle name="SAPBEXundefined" xfId="73" xr:uid="{00000000-0005-0000-0000-000049000000}"/>
    <cellStyle name="Sheet Title" xfId="74" xr:uid="{00000000-0005-0000-0000-00004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C000"/>
      <rgbColor rgb="FFFF00FF"/>
      <rgbColor rgb="FF00FFFF"/>
      <rgbColor rgb="FF800000"/>
      <rgbColor rgb="FF008000"/>
      <rgbColor rgb="FF000080"/>
      <rgbColor rgb="FF66B28C"/>
      <rgbColor rgb="FF800080"/>
      <rgbColor rgb="FF008080"/>
      <rgbColor rgb="FFC0C0C0"/>
      <rgbColor rgb="FF808080"/>
      <rgbColor rgb="FFB2B2FF"/>
      <rgbColor rgb="FF993366"/>
      <rgbColor rgb="FFFFFFCC"/>
      <rgbColor rgb="FFCCFFFF"/>
      <rgbColor rgb="FF660066"/>
      <rgbColor rgb="FFFF8080"/>
      <rgbColor rgb="FF3F3F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A6D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18720</xdr:rowOff>
    </xdr:from>
    <xdr:to>
      <xdr:col>0</xdr:col>
      <xdr:colOff>342720</xdr:colOff>
      <xdr:row>3</xdr:row>
      <xdr:rowOff>1133640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720" y="378720"/>
          <a:ext cx="324000" cy="13129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18720</xdr:rowOff>
    </xdr:from>
    <xdr:to>
      <xdr:col>1</xdr:col>
      <xdr:colOff>743040</xdr:colOff>
      <xdr:row>3</xdr:row>
      <xdr:rowOff>1133640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360" y="378720"/>
          <a:ext cx="1076400" cy="13129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18720</xdr:colOff>
      <xdr:row>2</xdr:row>
      <xdr:rowOff>18720</xdr:rowOff>
    </xdr:from>
    <xdr:to>
      <xdr:col>0</xdr:col>
      <xdr:colOff>342720</xdr:colOff>
      <xdr:row>3</xdr:row>
      <xdr:rowOff>1133640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8720" y="378720"/>
          <a:ext cx="324000" cy="13129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18720</xdr:colOff>
      <xdr:row>38</xdr:row>
      <xdr:rowOff>18720</xdr:rowOff>
    </xdr:from>
    <xdr:to>
      <xdr:col>0</xdr:col>
      <xdr:colOff>342720</xdr:colOff>
      <xdr:row>39</xdr:row>
      <xdr:rowOff>1133280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8720" y="7911000"/>
          <a:ext cx="3240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38</xdr:row>
      <xdr:rowOff>18720</xdr:rowOff>
    </xdr:from>
    <xdr:to>
      <xdr:col>1</xdr:col>
      <xdr:colOff>743040</xdr:colOff>
      <xdr:row>39</xdr:row>
      <xdr:rowOff>1133280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360" y="7911000"/>
          <a:ext cx="10764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18720</xdr:colOff>
      <xdr:row>38</xdr:row>
      <xdr:rowOff>18720</xdr:rowOff>
    </xdr:from>
    <xdr:to>
      <xdr:col>0</xdr:col>
      <xdr:colOff>342720</xdr:colOff>
      <xdr:row>39</xdr:row>
      <xdr:rowOff>1133280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8720" y="7911000"/>
          <a:ext cx="3240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38</xdr:row>
      <xdr:rowOff>18720</xdr:rowOff>
    </xdr:from>
    <xdr:to>
      <xdr:col>1</xdr:col>
      <xdr:colOff>743040</xdr:colOff>
      <xdr:row>39</xdr:row>
      <xdr:rowOff>1133280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360" y="7911000"/>
          <a:ext cx="10764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18720</xdr:colOff>
      <xdr:row>74</xdr:row>
      <xdr:rowOff>18720</xdr:rowOff>
    </xdr:from>
    <xdr:to>
      <xdr:col>0</xdr:col>
      <xdr:colOff>342720</xdr:colOff>
      <xdr:row>75</xdr:row>
      <xdr:rowOff>1133280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8720" y="15083280"/>
          <a:ext cx="3240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74</xdr:row>
      <xdr:rowOff>18720</xdr:rowOff>
    </xdr:from>
    <xdr:to>
      <xdr:col>1</xdr:col>
      <xdr:colOff>743040</xdr:colOff>
      <xdr:row>75</xdr:row>
      <xdr:rowOff>1133280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9360" y="15083280"/>
          <a:ext cx="10764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18720</xdr:colOff>
      <xdr:row>74</xdr:row>
      <xdr:rowOff>18720</xdr:rowOff>
    </xdr:from>
    <xdr:to>
      <xdr:col>0</xdr:col>
      <xdr:colOff>342720</xdr:colOff>
      <xdr:row>75</xdr:row>
      <xdr:rowOff>1133280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8720" y="15083280"/>
          <a:ext cx="3240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74</xdr:row>
      <xdr:rowOff>18720</xdr:rowOff>
    </xdr:from>
    <xdr:to>
      <xdr:col>1</xdr:col>
      <xdr:colOff>743040</xdr:colOff>
      <xdr:row>75</xdr:row>
      <xdr:rowOff>1133280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9360" y="15083280"/>
          <a:ext cx="10764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18720</xdr:colOff>
      <xdr:row>74</xdr:row>
      <xdr:rowOff>18720</xdr:rowOff>
    </xdr:from>
    <xdr:to>
      <xdr:col>0</xdr:col>
      <xdr:colOff>342720</xdr:colOff>
      <xdr:row>75</xdr:row>
      <xdr:rowOff>1133280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8720" y="15083280"/>
          <a:ext cx="3240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74</xdr:row>
      <xdr:rowOff>18720</xdr:rowOff>
    </xdr:from>
    <xdr:to>
      <xdr:col>1</xdr:col>
      <xdr:colOff>743040</xdr:colOff>
      <xdr:row>75</xdr:row>
      <xdr:rowOff>1133280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9360" y="15083280"/>
          <a:ext cx="10764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18720</xdr:colOff>
      <xdr:row>74</xdr:row>
      <xdr:rowOff>18720</xdr:rowOff>
    </xdr:from>
    <xdr:to>
      <xdr:col>0</xdr:col>
      <xdr:colOff>342720</xdr:colOff>
      <xdr:row>75</xdr:row>
      <xdr:rowOff>1133280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8720" y="15083280"/>
          <a:ext cx="3240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74</xdr:row>
      <xdr:rowOff>18720</xdr:rowOff>
    </xdr:from>
    <xdr:to>
      <xdr:col>1</xdr:col>
      <xdr:colOff>743040</xdr:colOff>
      <xdr:row>75</xdr:row>
      <xdr:rowOff>1133280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360" y="15083280"/>
          <a:ext cx="1076400" cy="13147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38160</xdr:colOff>
      <xdr:row>27</xdr:row>
      <xdr:rowOff>0</xdr:rowOff>
    </xdr:from>
    <xdr:to>
      <xdr:col>7</xdr:col>
      <xdr:colOff>1340280</xdr:colOff>
      <xdr:row>35</xdr:row>
      <xdr:rowOff>190080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38160" y="5209920"/>
          <a:ext cx="7727400" cy="17143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0" bIns="0">
          <a:noAutofit/>
        </a:bodyPr>
        <a:lstStyle/>
        <a:p>
          <a:pPr>
            <a:lnSpc>
              <a:spcPct val="100000"/>
            </a:lnSpc>
          </a:pPr>
          <a:endParaRPr lang="hr-H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hr-HR" sz="1000" b="0" strike="noStrike" spc="-1">
              <a:solidFill>
                <a:srgbClr val="000000"/>
              </a:solidFill>
              <a:latin typeface="Arial"/>
            </a:rPr>
            <a:t>Za svaki iznos potrebno je unijeti šifru glave, šifru izvora financiranja, šifru aktivnosti ili projekta, konto izdatka na četvrtoj razini ekonomske klasifikacije (iz skupina 51, 53 i 54), te upisati iznose u odgovarajuće godine.</a:t>
          </a: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38160</xdr:colOff>
      <xdr:row>27</xdr:row>
      <xdr:rowOff>0</xdr:rowOff>
    </xdr:from>
    <xdr:to>
      <xdr:col>7</xdr:col>
      <xdr:colOff>1340280</xdr:colOff>
      <xdr:row>35</xdr:row>
      <xdr:rowOff>190080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38160" y="5209920"/>
          <a:ext cx="7727400" cy="17143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0" bIns="0">
          <a:noAutofit/>
        </a:bodyPr>
        <a:lstStyle/>
        <a:p>
          <a:pPr>
            <a:lnSpc>
              <a:spcPct val="100000"/>
            </a:lnSpc>
          </a:pPr>
          <a:endParaRPr lang="hr-H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hr-HR" sz="1000" b="0" strike="noStrike" spc="-1">
              <a:solidFill>
                <a:srgbClr val="000000"/>
              </a:solidFill>
              <a:latin typeface="Arial"/>
            </a:rPr>
            <a:t>Za svaki iznos potrebno je unijeti šifru glave, šifru izvora financiranja, šifru aktivnosti ili projekta, konto izdatka na četvrtoj razini ekonomske klasifikacije (iz skupina 51, 53 i 54), te upisati iznose u odgovarajuće godine.</a:t>
          </a: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38160</xdr:colOff>
      <xdr:row>27</xdr:row>
      <xdr:rowOff>0</xdr:rowOff>
    </xdr:from>
    <xdr:to>
      <xdr:col>7</xdr:col>
      <xdr:colOff>1340280</xdr:colOff>
      <xdr:row>35</xdr:row>
      <xdr:rowOff>190080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38160" y="5209920"/>
          <a:ext cx="7727400" cy="17143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0" bIns="0">
          <a:noAutofit/>
        </a:bodyPr>
        <a:lstStyle/>
        <a:p>
          <a:pPr>
            <a:lnSpc>
              <a:spcPct val="100000"/>
            </a:lnSpc>
          </a:pPr>
          <a:endParaRPr lang="hr-H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hr-HR" sz="1000" b="0" strike="noStrike" spc="-1">
              <a:solidFill>
                <a:srgbClr val="000000"/>
              </a:solidFill>
              <a:latin typeface="Arial"/>
            </a:rPr>
            <a:t>Za svaki iznos potrebno je unijeti šifru glave, šifru izvora financiranja, šifru aktivnosti ili projekta, konto izdatka na četvrtoj razini ekonomske klasifikacije (iz skupina 51, 53 i 54), te upisati iznose u odgovarajuće godine.</a:t>
          </a: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38160</xdr:colOff>
      <xdr:row>27</xdr:row>
      <xdr:rowOff>0</xdr:rowOff>
    </xdr:from>
    <xdr:to>
      <xdr:col>7</xdr:col>
      <xdr:colOff>1340280</xdr:colOff>
      <xdr:row>35</xdr:row>
      <xdr:rowOff>190080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8160" y="5209920"/>
          <a:ext cx="7727400" cy="17143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0" bIns="0">
          <a:noAutofit/>
        </a:bodyPr>
        <a:lstStyle/>
        <a:p>
          <a:pPr>
            <a:lnSpc>
              <a:spcPct val="100000"/>
            </a:lnSpc>
          </a:pPr>
          <a:endParaRPr lang="hr-H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hr-HR" sz="1000" b="0" strike="noStrike" spc="-1">
              <a:solidFill>
                <a:srgbClr val="000000"/>
              </a:solidFill>
              <a:latin typeface="Arial"/>
            </a:rPr>
            <a:t>Za svaki iznos potrebno je unijeti šifru glave, šifru izvora financiranja, šifru aktivnosti ili projekta, konto izdatka na četvrtoj razini ekonomske klasifikacije (iz skupina 51, 53 i 54), te upisati iznose u odgovarajuće godine.</a:t>
          </a: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hr-HR" sz="1000" b="0" strike="noStrike" spc="-1">
              <a:solidFill>
                <a:srgbClr val="000000"/>
              </a:solidFill>
              <a:latin typeface="Arial"/>
            </a:rPr>
            <a:t>Službeni dopis s popunjenom tablicom pošaljite poštom na adresu: Ministarstvo financija, Katančičeva 5, 10 000 Zagreb, Sektor za pripremu i izradu prijedloga proračuna države i na e-mail adresu vašeg savjetnika u Sektoru.</a:t>
          </a: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r-HR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96"/>
  <sheetViews>
    <sheetView showGridLines="0" topLeftCell="A22" zoomScaleNormal="100" workbookViewId="0">
      <selection activeCell="C4" sqref="C4:E4"/>
    </sheetView>
  </sheetViews>
  <sheetFormatPr defaultRowHeight="15" zeroHeight="1"/>
  <cols>
    <col min="1" max="1" width="7.5546875" style="1" customWidth="1"/>
    <col min="2" max="2" width="36.109375" style="1" customWidth="1"/>
    <col min="3" max="3" width="21.44140625" style="1" customWidth="1"/>
    <col min="4" max="4" width="21.109375" style="1" customWidth="1"/>
    <col min="5" max="5" width="21.6640625" style="1" customWidth="1"/>
    <col min="6" max="6" width="11.44140625" style="1"/>
    <col min="7" max="12" width="11.44140625" style="1" hidden="1"/>
    <col min="13" max="13" width="7.88671875" style="1" hidden="1" customWidth="1"/>
    <col min="14" max="14" width="41.33203125" style="1" hidden="1" customWidth="1"/>
    <col min="15" max="28" width="11.44140625" style="1" hidden="1"/>
    <col min="29" max="1025" width="14.44140625" style="1" hidden="1" customWidth="1"/>
  </cols>
  <sheetData>
    <row r="1" spans="1:28"/>
    <row r="2" spans="1:28"/>
    <row r="3" spans="1:28" ht="36.75" customHeight="1">
      <c r="A3" s="2"/>
      <c r="B3" s="3" t="s">
        <v>0</v>
      </c>
      <c r="C3" s="233" t="s">
        <v>1</v>
      </c>
      <c r="D3" s="233"/>
      <c r="E3" s="2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95" customHeight="1">
      <c r="A4" s="2"/>
      <c r="B4" s="4" t="s">
        <v>2</v>
      </c>
      <c r="C4" s="234" t="s">
        <v>1669</v>
      </c>
      <c r="D4" s="234"/>
      <c r="E4" s="2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79.8">
      <c r="A5" s="5"/>
      <c r="B5" s="4" t="s">
        <v>3</v>
      </c>
      <c r="C5" s="234" t="s">
        <v>1666</v>
      </c>
      <c r="D5" s="234"/>
      <c r="E5" s="234"/>
      <c r="F5" s="2"/>
      <c r="G5" s="2"/>
      <c r="H5" s="2"/>
      <c r="I5" s="2"/>
      <c r="J5" s="2"/>
      <c r="K5" s="6" t="s">
        <v>4</v>
      </c>
      <c r="L5" s="6" t="s">
        <v>5</v>
      </c>
      <c r="M5" s="6" t="s">
        <v>6</v>
      </c>
      <c r="N5" s="6" t="s">
        <v>7</v>
      </c>
      <c r="O5" s="6" t="s">
        <v>8</v>
      </c>
      <c r="P5" s="6" t="s">
        <v>9</v>
      </c>
      <c r="Q5" s="6" t="s">
        <v>10</v>
      </c>
      <c r="R5" s="6" t="s">
        <v>11</v>
      </c>
      <c r="S5" s="6" t="s">
        <v>12</v>
      </c>
      <c r="T5" s="6" t="s">
        <v>13</v>
      </c>
      <c r="U5" s="7" t="s">
        <v>14</v>
      </c>
      <c r="V5" s="2"/>
      <c r="W5" s="2"/>
      <c r="X5" s="2"/>
      <c r="Y5" s="2"/>
      <c r="Z5" s="2"/>
      <c r="AA5" s="2"/>
      <c r="AB5" s="2"/>
    </row>
    <row r="6" spans="1:28">
      <c r="A6" s="8"/>
      <c r="B6" s="4" t="s">
        <v>15</v>
      </c>
      <c r="C6" s="234" t="s">
        <v>1667</v>
      </c>
      <c r="D6" s="234"/>
      <c r="E6" s="234"/>
      <c r="F6" s="2"/>
      <c r="G6" s="2"/>
      <c r="H6" s="2"/>
      <c r="I6" s="2"/>
      <c r="J6" s="2"/>
      <c r="K6" s="1">
        <v>0</v>
      </c>
      <c r="L6" s="1" t="s">
        <v>16</v>
      </c>
      <c r="T6" s="1" t="s">
        <v>17</v>
      </c>
      <c r="U6" s="1" t="s">
        <v>17</v>
      </c>
      <c r="V6" s="2"/>
      <c r="W6" s="2"/>
      <c r="X6" s="2"/>
      <c r="Y6" s="2"/>
      <c r="Z6" s="2"/>
      <c r="AA6" s="2"/>
      <c r="AB6" s="2"/>
    </row>
    <row r="7" spans="1:28">
      <c r="A7" s="8"/>
      <c r="B7" s="4" t="s">
        <v>18</v>
      </c>
      <c r="C7" s="234" t="s">
        <v>1668</v>
      </c>
      <c r="D7" s="234"/>
      <c r="E7" s="234"/>
      <c r="F7" s="2"/>
      <c r="G7" s="2"/>
      <c r="H7" s="2"/>
      <c r="I7" s="2"/>
      <c r="J7" s="2"/>
      <c r="K7" s="9">
        <v>1</v>
      </c>
      <c r="L7" s="9" t="str">
        <f t="shared" ref="L7:L38" si="0">M7&amp;" "&amp;N7</f>
        <v>2452 SVEUČILIŠTE J.J STROSSMAYERA U OSIJEKU</v>
      </c>
      <c r="M7" s="10">
        <v>2452</v>
      </c>
      <c r="N7" s="11" t="s">
        <v>19</v>
      </c>
      <c r="O7" s="11" t="s">
        <v>19</v>
      </c>
      <c r="P7" s="11" t="s">
        <v>20</v>
      </c>
      <c r="Q7" s="11" t="s">
        <v>21</v>
      </c>
      <c r="R7" s="12">
        <v>3049779</v>
      </c>
      <c r="S7" s="13" t="s">
        <v>22</v>
      </c>
      <c r="T7" s="13" t="s">
        <v>23</v>
      </c>
      <c r="U7" s="14" t="s">
        <v>24</v>
      </c>
      <c r="V7" s="2"/>
      <c r="W7" s="2"/>
      <c r="X7" s="2"/>
      <c r="Y7" s="2"/>
      <c r="Z7" s="2"/>
      <c r="AA7" s="2"/>
      <c r="AB7" s="2"/>
    </row>
    <row r="8" spans="1:28">
      <c r="A8" s="8"/>
      <c r="B8" s="8"/>
      <c r="C8" s="2"/>
      <c r="D8" s="2"/>
      <c r="E8" s="2"/>
      <c r="F8" s="2"/>
      <c r="G8" s="2"/>
      <c r="H8" s="2"/>
      <c r="I8" s="2"/>
      <c r="J8" s="2"/>
      <c r="K8" s="9">
        <v>2</v>
      </c>
      <c r="L8" s="9" t="str">
        <f t="shared" si="0"/>
        <v>2284 SVEUČILIŠTE J.J STROSSMAYERA U OSIJEKU - EKONOMSKI FAKULTET</v>
      </c>
      <c r="M8" s="10">
        <v>2284</v>
      </c>
      <c r="N8" s="11" t="s">
        <v>25</v>
      </c>
      <c r="O8" s="11" t="s">
        <v>19</v>
      </c>
      <c r="P8" s="11" t="s">
        <v>26</v>
      </c>
      <c r="Q8" s="11" t="s">
        <v>21</v>
      </c>
      <c r="R8" s="12">
        <v>3021645</v>
      </c>
      <c r="S8" s="13" t="s">
        <v>27</v>
      </c>
      <c r="T8" s="13" t="s">
        <v>23</v>
      </c>
      <c r="U8" s="14" t="s">
        <v>24</v>
      </c>
      <c r="V8" s="2"/>
      <c r="W8" s="2"/>
      <c r="X8" s="2"/>
      <c r="Y8" s="2"/>
      <c r="Z8" s="2"/>
      <c r="AA8" s="2"/>
      <c r="AB8" s="2"/>
    </row>
    <row r="9" spans="1:28" ht="28.5" customHeight="1">
      <c r="B9" s="236" t="s">
        <v>28</v>
      </c>
      <c r="C9" s="236"/>
      <c r="D9" s="236"/>
      <c r="E9" s="236"/>
      <c r="F9" s="2"/>
      <c r="G9" s="2"/>
      <c r="H9" s="2"/>
      <c r="I9" s="2"/>
      <c r="J9" s="2"/>
      <c r="K9" s="9">
        <v>3</v>
      </c>
      <c r="L9" s="9" t="str">
        <f t="shared" si="0"/>
        <v xml:space="preserve">2313 SVEUČILIŠTE J.J.STROSSMAYERA U OSIJEKU - ELEKTROTEHNIČKI FAKULTET </v>
      </c>
      <c r="M9" s="10">
        <v>2313</v>
      </c>
      <c r="N9" s="11" t="s">
        <v>29</v>
      </c>
      <c r="O9" s="11" t="s">
        <v>19</v>
      </c>
      <c r="P9" s="11" t="s">
        <v>30</v>
      </c>
      <c r="Q9" s="11" t="s">
        <v>21</v>
      </c>
      <c r="R9" s="12">
        <v>3392589</v>
      </c>
      <c r="S9" s="13" t="s">
        <v>31</v>
      </c>
      <c r="T9" s="13" t="s">
        <v>23</v>
      </c>
      <c r="U9" s="14" t="s">
        <v>24</v>
      </c>
      <c r="V9" s="2"/>
      <c r="W9" s="2"/>
      <c r="X9" s="2"/>
      <c r="Y9" s="2"/>
      <c r="Z9" s="2"/>
      <c r="AA9" s="2"/>
      <c r="AB9" s="2"/>
    </row>
    <row r="10" spans="1:28" ht="18.75" customHeight="1">
      <c r="B10" s="236" t="s">
        <v>32</v>
      </c>
      <c r="C10" s="236"/>
      <c r="D10" s="236"/>
      <c r="E10" s="236"/>
      <c r="F10" s="2"/>
      <c r="G10" s="2"/>
      <c r="H10" s="2"/>
      <c r="I10" s="2"/>
      <c r="J10" s="2"/>
      <c r="K10" s="9">
        <v>4</v>
      </c>
      <c r="L10" s="9" t="str">
        <f t="shared" si="0"/>
        <v>2321 SVEUČILIŠTE J.J STROSSMAYERA U OSIJEKU - FILOZOFSKI FAKULTET</v>
      </c>
      <c r="M10" s="10">
        <v>2321</v>
      </c>
      <c r="N10" s="11" t="s">
        <v>33</v>
      </c>
      <c r="O10" s="11" t="s">
        <v>19</v>
      </c>
      <c r="P10" s="11" t="s">
        <v>34</v>
      </c>
      <c r="Q10" s="11" t="s">
        <v>21</v>
      </c>
      <c r="R10" s="12">
        <v>3014185</v>
      </c>
      <c r="S10" s="13" t="s">
        <v>35</v>
      </c>
      <c r="T10" s="13" t="s">
        <v>23</v>
      </c>
      <c r="U10" s="14" t="s">
        <v>24</v>
      </c>
      <c r="V10" s="2"/>
      <c r="W10" s="2"/>
      <c r="X10" s="2"/>
      <c r="Y10" s="2"/>
      <c r="Z10" s="2"/>
      <c r="AA10" s="2"/>
      <c r="AB10" s="2"/>
    </row>
    <row r="11" spans="1:28" ht="12" customHeight="1">
      <c r="B11" s="235"/>
      <c r="C11" s="235"/>
      <c r="D11" s="235"/>
      <c r="E11" s="235"/>
      <c r="F11" s="2"/>
      <c r="G11" s="2"/>
      <c r="H11" s="2"/>
      <c r="I11" s="2"/>
      <c r="J11" s="2"/>
      <c r="K11" s="9">
        <v>5</v>
      </c>
      <c r="L11" s="9" t="str">
        <f t="shared" si="0"/>
        <v>2508 SVEUČILIŠTE J.J.STROSSMAYERA U OSIJEKU - GRADSKA I SVEUČILIŠNA KNJIŽNICA</v>
      </c>
      <c r="M11" s="10">
        <v>2508</v>
      </c>
      <c r="N11" s="15" t="s">
        <v>36</v>
      </c>
      <c r="O11" s="11" t="s">
        <v>19</v>
      </c>
      <c r="P11" s="15" t="s">
        <v>37</v>
      </c>
      <c r="Q11" s="15" t="s">
        <v>21</v>
      </c>
      <c r="R11" s="16">
        <v>3014347</v>
      </c>
      <c r="S11" s="13" t="s">
        <v>38</v>
      </c>
      <c r="T11" s="13" t="s">
        <v>23</v>
      </c>
      <c r="U11" s="14" t="s">
        <v>24</v>
      </c>
      <c r="V11" s="2"/>
      <c r="W11" s="2"/>
      <c r="X11" s="2"/>
      <c r="Y11" s="2"/>
      <c r="Z11" s="2"/>
      <c r="AA11" s="2"/>
      <c r="AB11" s="2"/>
    </row>
    <row r="12" spans="1:28" ht="12" customHeight="1">
      <c r="A12" s="17"/>
      <c r="B12" s="17"/>
      <c r="C12" s="2"/>
      <c r="D12" s="2"/>
      <c r="E12" s="2"/>
      <c r="F12" s="2"/>
      <c r="G12" s="2"/>
      <c r="H12" s="2"/>
      <c r="I12" s="2"/>
      <c r="J12" s="2"/>
      <c r="K12" s="9">
        <v>6</v>
      </c>
      <c r="L12" s="9" t="str">
        <f t="shared" si="0"/>
        <v>2250 SVEUČILIŠTE J.J STROSSMAYERA U OSIJEKU - GRAĐEVINSKI FAKULTET</v>
      </c>
      <c r="M12" s="10">
        <v>2250</v>
      </c>
      <c r="N12" s="11" t="s">
        <v>39</v>
      </c>
      <c r="O12" s="11" t="s">
        <v>19</v>
      </c>
      <c r="P12" s="11" t="s">
        <v>40</v>
      </c>
      <c r="Q12" s="11" t="s">
        <v>21</v>
      </c>
      <c r="R12" s="12">
        <v>3397335</v>
      </c>
      <c r="S12" s="13" t="s">
        <v>41</v>
      </c>
      <c r="T12" s="13" t="s">
        <v>23</v>
      </c>
      <c r="U12" s="14" t="s">
        <v>24</v>
      </c>
      <c r="V12" s="2"/>
      <c r="W12" s="2"/>
      <c r="X12" s="2"/>
      <c r="Y12" s="2"/>
      <c r="Z12" s="2"/>
      <c r="AA12" s="2"/>
      <c r="AB12" s="2"/>
    </row>
    <row r="13" spans="1:28" ht="33" customHeight="1">
      <c r="A13" s="18"/>
      <c r="B13" s="18"/>
      <c r="C13" s="18" t="s">
        <v>42</v>
      </c>
      <c r="D13" s="18" t="s">
        <v>43</v>
      </c>
      <c r="E13" s="18" t="s">
        <v>44</v>
      </c>
      <c r="F13" s="19"/>
      <c r="G13" s="2"/>
      <c r="H13" s="2"/>
      <c r="I13" s="2"/>
      <c r="J13" s="2"/>
      <c r="K13" s="9">
        <v>7</v>
      </c>
      <c r="L13" s="9" t="str">
        <f t="shared" si="0"/>
        <v>22849 SVEUČILIŠTE J.J STROSSMAYERA U OSIJEKU - MEDICINSKI FAKULTET</v>
      </c>
      <c r="M13" s="10">
        <v>22849</v>
      </c>
      <c r="N13" s="11" t="s">
        <v>45</v>
      </c>
      <c r="O13" s="11" t="s">
        <v>19</v>
      </c>
      <c r="P13" s="11" t="s">
        <v>46</v>
      </c>
      <c r="Q13" s="11" t="s">
        <v>21</v>
      </c>
      <c r="R13" s="12">
        <v>1388142</v>
      </c>
      <c r="S13" s="13" t="s">
        <v>47</v>
      </c>
      <c r="T13" s="13" t="s">
        <v>23</v>
      </c>
      <c r="U13" s="14" t="s">
        <v>24</v>
      </c>
      <c r="V13" s="2"/>
      <c r="W13" s="2"/>
      <c r="X13" s="2"/>
      <c r="Y13" s="2"/>
      <c r="Z13" s="2"/>
      <c r="AA13" s="2"/>
      <c r="AB13" s="2"/>
    </row>
    <row r="14" spans="1:28" ht="19.5" customHeight="1">
      <c r="A14" s="20"/>
      <c r="B14" s="20" t="s">
        <v>48</v>
      </c>
      <c r="C14" s="21">
        <f>SUM(C15:C16)</f>
        <v>5269293</v>
      </c>
      <c r="D14" s="21">
        <f>+D15+D16</f>
        <v>5562622</v>
      </c>
      <c r="E14" s="21">
        <f>+E15+E16</f>
        <v>5625194</v>
      </c>
      <c r="F14" s="22"/>
      <c r="G14" s="2"/>
      <c r="H14" s="2"/>
      <c r="I14" s="2"/>
      <c r="J14" s="2"/>
      <c r="K14" s="9">
        <v>8</v>
      </c>
      <c r="L14" s="9" t="str">
        <f t="shared" si="0"/>
        <v>2268 SVEUČILIŠTE J.J STROSSMAYERA U OSIJEKU - POLJOPRIVREDNI FAKULTET</v>
      </c>
      <c r="M14" s="10">
        <v>2268</v>
      </c>
      <c r="N14" s="11" t="s">
        <v>49</v>
      </c>
      <c r="O14" s="11" t="s">
        <v>19</v>
      </c>
      <c r="P14" s="11" t="s">
        <v>50</v>
      </c>
      <c r="Q14" s="11" t="s">
        <v>21</v>
      </c>
      <c r="R14" s="12">
        <v>3058212</v>
      </c>
      <c r="S14" s="13" t="s">
        <v>51</v>
      </c>
      <c r="T14" s="13" t="s">
        <v>23</v>
      </c>
      <c r="U14" s="14" t="s">
        <v>24</v>
      </c>
      <c r="V14" s="2"/>
      <c r="W14" s="2"/>
      <c r="X14" s="2"/>
      <c r="Y14" s="2"/>
      <c r="Z14" s="2"/>
      <c r="AA14" s="2"/>
      <c r="AB14" s="2"/>
    </row>
    <row r="15" spans="1:28" ht="19.5" customHeight="1">
      <c r="A15" s="23">
        <v>6</v>
      </c>
      <c r="B15" s="20" t="s">
        <v>52</v>
      </c>
      <c r="C15" s="24">
        <f>'PLAN PRIHODA I PRIMITAKA '!C26</f>
        <v>5269293</v>
      </c>
      <c r="D15" s="24">
        <f>'PLAN PRIHODA I PRIMITAKA '!C62</f>
        <v>5562622</v>
      </c>
      <c r="E15" s="24">
        <f>'PLAN PRIHODA I PRIMITAKA '!C98</f>
        <v>5625194</v>
      </c>
      <c r="F15" s="2"/>
      <c r="G15" s="2"/>
      <c r="H15" s="2"/>
      <c r="I15" s="2"/>
      <c r="J15" s="2"/>
      <c r="K15" s="9">
        <v>9</v>
      </c>
      <c r="L15" s="9" t="str">
        <f t="shared" si="0"/>
        <v>2292 SVEUČILIŠTE J.J STROSSMAYERA U OSIJEKU - PRAVNI FAKULTET</v>
      </c>
      <c r="M15" s="10">
        <v>2292</v>
      </c>
      <c r="N15" s="11" t="s">
        <v>53</v>
      </c>
      <c r="O15" s="11" t="s">
        <v>19</v>
      </c>
      <c r="P15" s="11" t="s">
        <v>54</v>
      </c>
      <c r="Q15" s="11" t="s">
        <v>55</v>
      </c>
      <c r="R15" s="12">
        <v>3014193</v>
      </c>
      <c r="S15" s="13" t="s">
        <v>56</v>
      </c>
      <c r="T15" s="13" t="s">
        <v>23</v>
      </c>
      <c r="U15" s="14" t="s">
        <v>24</v>
      </c>
      <c r="V15" s="2"/>
      <c r="W15" s="2"/>
      <c r="X15" s="2"/>
      <c r="Y15" s="2"/>
      <c r="Z15" s="2"/>
      <c r="AA15" s="2"/>
      <c r="AB15" s="2"/>
    </row>
    <row r="16" spans="1:28" ht="19.5" customHeight="1">
      <c r="A16" s="23">
        <v>7</v>
      </c>
      <c r="B16" s="25" t="s">
        <v>57</v>
      </c>
      <c r="C16" s="24">
        <f>'PLAN PRIHODA I PRIMITAKA '!C33</f>
        <v>0</v>
      </c>
      <c r="D16" s="24">
        <f>'PLAN PRIHODA I PRIMITAKA '!C69</f>
        <v>0</v>
      </c>
      <c r="E16" s="24">
        <f>'PLAN PRIHODA I PRIMITAKA '!C105</f>
        <v>0</v>
      </c>
      <c r="F16" s="2"/>
      <c r="G16" s="26"/>
      <c r="H16" s="2"/>
      <c r="I16" s="2"/>
      <c r="J16" s="2"/>
      <c r="K16" s="9">
        <v>10</v>
      </c>
      <c r="L16" s="9" t="str">
        <f t="shared" si="0"/>
        <v>2276 SVEUČILIŠTE J.J STROSSMAYERA U OSIJEKU - PREHRAMBENO TEHNOLOŠKI FAKULTET</v>
      </c>
      <c r="M16" s="10">
        <v>2276</v>
      </c>
      <c r="N16" s="11" t="s">
        <v>58</v>
      </c>
      <c r="O16" s="11" t="s">
        <v>19</v>
      </c>
      <c r="P16" s="11" t="s">
        <v>59</v>
      </c>
      <c r="Q16" s="11" t="s">
        <v>21</v>
      </c>
      <c r="R16" s="12">
        <v>3058204</v>
      </c>
      <c r="S16" s="13" t="s">
        <v>60</v>
      </c>
      <c r="T16" s="13" t="s">
        <v>23</v>
      </c>
      <c r="U16" s="14" t="s">
        <v>24</v>
      </c>
      <c r="V16" s="2"/>
      <c r="W16" s="2"/>
      <c r="X16" s="2"/>
      <c r="Y16" s="2"/>
      <c r="Z16" s="2"/>
      <c r="AA16" s="2"/>
      <c r="AB16" s="2"/>
    </row>
    <row r="17" spans="1:28" ht="19.5" customHeight="1">
      <c r="A17" s="27"/>
      <c r="B17" s="25" t="s">
        <v>61</v>
      </c>
      <c r="C17" s="28">
        <f>SUM(C18:C19)</f>
        <v>5269293</v>
      </c>
      <c r="D17" s="28">
        <f>+D18+D19</f>
        <v>5562622</v>
      </c>
      <c r="E17" s="28">
        <f>+E18+E19</f>
        <v>5625194</v>
      </c>
      <c r="F17" s="2"/>
      <c r="G17" s="2"/>
      <c r="H17" s="2"/>
      <c r="I17" s="2"/>
      <c r="J17" s="2"/>
      <c r="K17" s="9">
        <v>11</v>
      </c>
      <c r="L17" s="9" t="str">
        <f t="shared" si="0"/>
        <v>2305 SVEUČILIŠTE J.J STROSSMAYERA U OSIJEKU - STROJARSKI FAKULTET U SLAVONSKOME BRODU</v>
      </c>
      <c r="M17" s="10">
        <v>2305</v>
      </c>
      <c r="N17" s="11" t="s">
        <v>62</v>
      </c>
      <c r="O17" s="11" t="s">
        <v>19</v>
      </c>
      <c r="P17" s="11" t="s">
        <v>63</v>
      </c>
      <c r="Q17" s="11" t="s">
        <v>64</v>
      </c>
      <c r="R17" s="12">
        <v>3458091</v>
      </c>
      <c r="S17" s="13" t="s">
        <v>65</v>
      </c>
      <c r="T17" s="13" t="s">
        <v>23</v>
      </c>
      <c r="U17" s="14" t="s">
        <v>24</v>
      </c>
      <c r="V17" s="2"/>
      <c r="W17" s="2"/>
      <c r="X17" s="2"/>
      <c r="Y17" s="2"/>
      <c r="Z17" s="2"/>
      <c r="AA17" s="2"/>
      <c r="AB17" s="2"/>
    </row>
    <row r="18" spans="1:28" ht="19.5" customHeight="1">
      <c r="A18" s="27">
        <v>3</v>
      </c>
      <c r="B18" s="20" t="s">
        <v>66</v>
      </c>
      <c r="C18" s="29">
        <f>'PLAN RASHODA I IZDATAKA'!C4</f>
        <v>5269293</v>
      </c>
      <c r="D18" s="30">
        <f>'PLAN RASHODA I IZDATAKA'!C72</f>
        <v>5562622</v>
      </c>
      <c r="E18" s="30">
        <f>'PLAN RASHODA I IZDATAKA'!C92</f>
        <v>5625194</v>
      </c>
      <c r="F18" s="2"/>
      <c r="G18" s="2"/>
      <c r="H18" s="2"/>
      <c r="I18" s="2"/>
      <c r="J18" s="2"/>
      <c r="K18" s="9">
        <v>12</v>
      </c>
      <c r="L18" s="9" t="str">
        <f t="shared" si="0"/>
        <v>22486 SVEUČILIŠTE J.J STROSSMAYERA U OSIJEKU - FAKULTET ZA ODGOJNE I OBRAZOVNE ZNANOSTI</v>
      </c>
      <c r="M18" s="10">
        <v>22486</v>
      </c>
      <c r="N18" s="11" t="s">
        <v>67</v>
      </c>
      <c r="O18" s="11" t="s">
        <v>19</v>
      </c>
      <c r="P18" s="11" t="s">
        <v>68</v>
      </c>
      <c r="Q18" s="11" t="s">
        <v>21</v>
      </c>
      <c r="R18" s="12">
        <v>1404881</v>
      </c>
      <c r="S18" s="13" t="s">
        <v>69</v>
      </c>
      <c r="T18" s="13" t="s">
        <v>23</v>
      </c>
      <c r="U18" s="14" t="s">
        <v>24</v>
      </c>
      <c r="V18" s="2"/>
      <c r="W18" s="2"/>
      <c r="X18" s="2"/>
      <c r="Y18" s="2"/>
      <c r="Z18" s="2"/>
      <c r="AA18" s="2"/>
      <c r="AB18" s="2"/>
    </row>
    <row r="19" spans="1:28" ht="19.5" customHeight="1">
      <c r="A19" s="23">
        <v>4</v>
      </c>
      <c r="B19" s="25" t="s">
        <v>70</v>
      </c>
      <c r="C19" s="29">
        <f>'PLAN RASHODA I IZDATAKA'!C38</f>
        <v>0</v>
      </c>
      <c r="D19" s="30">
        <f>'PLAN RASHODA I IZDATAKA'!C80</f>
        <v>0</v>
      </c>
      <c r="E19" s="30">
        <f>'PLAN RASHODA I IZDATAKA'!C100</f>
        <v>0</v>
      </c>
      <c r="F19" s="2"/>
      <c r="G19" s="2"/>
      <c r="H19" s="2"/>
      <c r="I19" s="2"/>
      <c r="J19" s="2"/>
      <c r="K19" s="9">
        <v>13</v>
      </c>
      <c r="L19" s="9" t="str">
        <f t="shared" si="0"/>
        <v>38479 SVEUČILIŠTE J.J.STROSSMAYERA U OSIJEKU - KATOLIČKI BOGOSLOVNI FAKULTET U ĐAKOVU</v>
      </c>
      <c r="M19" s="10">
        <v>38479</v>
      </c>
      <c r="N19" s="11" t="s">
        <v>71</v>
      </c>
      <c r="O19" s="11" t="s">
        <v>19</v>
      </c>
      <c r="P19" s="11" t="s">
        <v>72</v>
      </c>
      <c r="Q19" s="11" t="s">
        <v>73</v>
      </c>
      <c r="R19" s="12">
        <v>1986490</v>
      </c>
      <c r="S19" s="13" t="s">
        <v>74</v>
      </c>
      <c r="T19" s="13" t="s">
        <v>23</v>
      </c>
      <c r="U19" s="14" t="s">
        <v>24</v>
      </c>
      <c r="V19" s="2"/>
      <c r="W19" s="2"/>
      <c r="X19" s="2"/>
      <c r="Y19" s="2"/>
      <c r="Z19" s="2"/>
      <c r="AA19" s="2"/>
      <c r="AB19" s="2"/>
    </row>
    <row r="20" spans="1:28" ht="19.5" customHeight="1">
      <c r="A20" s="20"/>
      <c r="B20" s="20" t="s">
        <v>75</v>
      </c>
      <c r="C20" s="21">
        <f>+C14-C17</f>
        <v>0</v>
      </c>
      <c r="D20" s="21">
        <f>+D14-D17</f>
        <v>0</v>
      </c>
      <c r="E20" s="21">
        <f>+E14-E17</f>
        <v>0</v>
      </c>
      <c r="F20" s="2"/>
      <c r="G20" s="2"/>
      <c r="H20" s="2"/>
      <c r="I20" s="2"/>
      <c r="J20" s="2"/>
      <c r="K20" s="9">
        <v>14</v>
      </c>
      <c r="L20" s="9" t="str">
        <f t="shared" si="0"/>
        <v>49796 SVEUČILIŠTE J.J.STROSSMAYERA U OSIJEKU - FAKULTET ZA DENTALNU MEDICINU I ZDRAVSTVO</v>
      </c>
      <c r="M20" s="10">
        <v>49796</v>
      </c>
      <c r="N20" s="11" t="s">
        <v>76</v>
      </c>
      <c r="O20" s="11" t="s">
        <v>19</v>
      </c>
      <c r="P20" s="11" t="s">
        <v>77</v>
      </c>
      <c r="Q20" s="11" t="s">
        <v>21</v>
      </c>
      <c r="R20" s="12">
        <v>4748875</v>
      </c>
      <c r="S20" s="13" t="s">
        <v>78</v>
      </c>
      <c r="T20" s="13" t="s">
        <v>23</v>
      </c>
      <c r="U20" s="14" t="s">
        <v>24</v>
      </c>
      <c r="V20" s="2"/>
      <c r="W20" s="2"/>
      <c r="X20" s="2"/>
      <c r="Y20" s="2"/>
      <c r="Z20" s="2"/>
      <c r="AA20" s="2"/>
      <c r="AB20" s="2"/>
    </row>
    <row r="21" spans="1:28" ht="19.5" customHeight="1">
      <c r="B21" s="235"/>
      <c r="C21" s="235"/>
      <c r="D21" s="235"/>
      <c r="E21" s="235"/>
      <c r="F21" s="2"/>
      <c r="G21" s="2"/>
      <c r="H21" s="2"/>
      <c r="I21" s="2"/>
      <c r="J21" s="2"/>
      <c r="K21" s="9">
        <v>15</v>
      </c>
      <c r="L21" s="9" t="str">
        <f t="shared" si="0"/>
        <v>50215 SVEUČILIŠTE J.J.STROSSMAYERA U OSIJEKU - AKADEMIJA ZA UMJETNOST I KULTURU U OSIJEKU</v>
      </c>
      <c r="M21" s="10">
        <v>50215</v>
      </c>
      <c r="N21" s="11" t="s">
        <v>79</v>
      </c>
      <c r="O21" s="11" t="s">
        <v>19</v>
      </c>
      <c r="P21" s="11" t="s">
        <v>80</v>
      </c>
      <c r="Q21" s="11" t="s">
        <v>21</v>
      </c>
      <c r="R21" s="12">
        <v>4907361</v>
      </c>
      <c r="S21" s="13">
        <v>60277424315</v>
      </c>
      <c r="T21" s="13" t="s">
        <v>23</v>
      </c>
      <c r="U21" s="14" t="s">
        <v>24</v>
      </c>
      <c r="V21" s="2"/>
      <c r="W21" s="2"/>
      <c r="X21" s="2"/>
      <c r="Y21" s="2"/>
      <c r="Z21" s="2"/>
      <c r="AA21" s="2"/>
      <c r="AB21" s="2"/>
    </row>
    <row r="22" spans="1:28" ht="29.25" customHeight="1">
      <c r="A22" s="18"/>
      <c r="B22" s="18"/>
      <c r="C22" s="18" t="s">
        <v>42</v>
      </c>
      <c r="D22" s="18" t="s">
        <v>43</v>
      </c>
      <c r="E22" s="18" t="s">
        <v>44</v>
      </c>
      <c r="F22" s="2"/>
      <c r="G22" s="2"/>
      <c r="H22" s="26"/>
      <c r="I22" s="2"/>
      <c r="J22" s="2"/>
      <c r="K22" s="9">
        <v>1</v>
      </c>
      <c r="L22" s="9" t="str">
        <f t="shared" si="0"/>
        <v>42024 SVEUČILIŠTE JURJA DOBRILE U PULI</v>
      </c>
      <c r="M22" s="10">
        <v>42024</v>
      </c>
      <c r="N22" s="11" t="s">
        <v>81</v>
      </c>
      <c r="O22" s="11" t="s">
        <v>81</v>
      </c>
      <c r="P22" s="11" t="s">
        <v>82</v>
      </c>
      <c r="Q22" s="11" t="s">
        <v>83</v>
      </c>
      <c r="R22" s="12">
        <v>2161753</v>
      </c>
      <c r="S22" s="13" t="s">
        <v>84</v>
      </c>
      <c r="T22" s="13" t="s">
        <v>23</v>
      </c>
      <c r="U22" s="14" t="s">
        <v>24</v>
      </c>
      <c r="V22" s="2"/>
      <c r="W22" s="2"/>
      <c r="X22" s="2"/>
      <c r="Y22" s="2"/>
      <c r="Z22" s="2"/>
      <c r="AA22" s="2"/>
      <c r="AB22" s="2"/>
    </row>
    <row r="23" spans="1:28" ht="28.8">
      <c r="A23" s="31" t="s">
        <v>85</v>
      </c>
      <c r="B23" s="31" t="s">
        <v>86</v>
      </c>
      <c r="C23" s="29">
        <f>'PLAN PRIHODA I PRIMITAKA '!C5</f>
        <v>0</v>
      </c>
      <c r="D23" s="29">
        <f>'PLAN PRIHODA I PRIMITAKA '!C41</f>
        <v>0</v>
      </c>
      <c r="E23" s="29">
        <f>'PLAN PRIHODA I PRIMITAKA '!C77</f>
        <v>0</v>
      </c>
      <c r="F23" s="2"/>
      <c r="G23" s="2"/>
      <c r="H23" s="32"/>
      <c r="I23" s="2"/>
      <c r="J23" s="2"/>
      <c r="K23" s="9">
        <v>2</v>
      </c>
      <c r="L23" s="9" t="str">
        <f t="shared" si="0"/>
        <v>48267 SVEUČILIŠTE SJEVER</v>
      </c>
      <c r="M23" s="10">
        <v>48267</v>
      </c>
      <c r="N23" s="11" t="s">
        <v>87</v>
      </c>
      <c r="O23" s="11" t="s">
        <v>87</v>
      </c>
      <c r="P23" s="11" t="s">
        <v>88</v>
      </c>
      <c r="Q23" s="11" t="s">
        <v>89</v>
      </c>
      <c r="R23" s="12">
        <v>2752298</v>
      </c>
      <c r="S23" s="13" t="s">
        <v>90</v>
      </c>
      <c r="T23" s="13" t="s">
        <v>23</v>
      </c>
      <c r="U23" s="14" t="s">
        <v>24</v>
      </c>
      <c r="V23" s="2"/>
      <c r="W23" s="2"/>
      <c r="X23" s="2"/>
      <c r="Y23" s="2"/>
      <c r="Z23" s="2"/>
      <c r="AA23" s="2"/>
      <c r="AB23" s="2"/>
    </row>
    <row r="24" spans="1:28" ht="28.8">
      <c r="A24" s="31" t="s">
        <v>91</v>
      </c>
      <c r="B24" s="31" t="s">
        <v>92</v>
      </c>
      <c r="C24" s="33">
        <f>'PLAN PRIHODA I PRIMITAKA '!C7</f>
        <v>0</v>
      </c>
      <c r="D24" s="33">
        <f>'PLAN PRIHODA I PRIMITAKA '!C43</f>
        <v>0</v>
      </c>
      <c r="E24" s="34">
        <f>'PLAN PRIHODA I PRIMITAKA '!C79</f>
        <v>0</v>
      </c>
      <c r="F24" s="2"/>
      <c r="G24" s="2"/>
      <c r="H24" s="32"/>
      <c r="I24" s="2"/>
      <c r="J24" s="2"/>
      <c r="K24" s="9">
        <v>3</v>
      </c>
      <c r="L24" s="9" t="str">
        <f t="shared" si="0"/>
        <v>24141 SVEUČILIŠTE U DUBROVNIKU</v>
      </c>
      <c r="M24" s="10">
        <v>24141</v>
      </c>
      <c r="N24" s="11" t="s">
        <v>93</v>
      </c>
      <c r="O24" s="11" t="s">
        <v>93</v>
      </c>
      <c r="P24" s="11" t="s">
        <v>94</v>
      </c>
      <c r="Q24" s="11" t="s">
        <v>95</v>
      </c>
      <c r="R24" s="12">
        <v>1787578</v>
      </c>
      <c r="S24" s="13" t="s">
        <v>96</v>
      </c>
      <c r="T24" s="13" t="s">
        <v>23</v>
      </c>
      <c r="U24" s="14" t="s">
        <v>24</v>
      </c>
      <c r="V24" s="2"/>
      <c r="W24" s="2"/>
      <c r="X24" s="2"/>
      <c r="Y24" s="2"/>
      <c r="Z24" s="2"/>
      <c r="AA24" s="2"/>
      <c r="AB24" s="2"/>
    </row>
    <row r="25" spans="1:28" ht="19.5" customHeight="1">
      <c r="B25" s="235"/>
      <c r="C25" s="235"/>
      <c r="D25" s="235"/>
      <c r="E25" s="235"/>
      <c r="F25" s="2"/>
      <c r="G25" s="2"/>
      <c r="H25" s="2"/>
      <c r="I25" s="2"/>
      <c r="J25" s="2"/>
      <c r="K25" s="9">
        <v>4</v>
      </c>
      <c r="L25" s="9" t="str">
        <f t="shared" si="0"/>
        <v>23815 SVEUČILIŠTE U ZADRU</v>
      </c>
      <c r="M25" s="10">
        <v>23815</v>
      </c>
      <c r="N25" s="11" t="s">
        <v>97</v>
      </c>
      <c r="O25" s="11" t="s">
        <v>97</v>
      </c>
      <c r="P25" s="11" t="s">
        <v>98</v>
      </c>
      <c r="Q25" s="11" t="s">
        <v>99</v>
      </c>
      <c r="R25" s="12">
        <v>1695525</v>
      </c>
      <c r="S25" s="13" t="s">
        <v>100</v>
      </c>
      <c r="T25" s="13" t="s">
        <v>23</v>
      </c>
      <c r="U25" s="14" t="s">
        <v>24</v>
      </c>
      <c r="V25" s="2"/>
      <c r="W25" s="2"/>
      <c r="X25" s="2"/>
      <c r="Y25" s="2"/>
      <c r="Z25" s="2"/>
      <c r="AA25" s="2"/>
      <c r="AB25" s="2"/>
    </row>
    <row r="26" spans="1:28" ht="30.75" customHeight="1">
      <c r="A26" s="18"/>
      <c r="B26" s="18"/>
      <c r="C26" s="18" t="s">
        <v>42</v>
      </c>
      <c r="D26" s="18" t="s">
        <v>43</v>
      </c>
      <c r="E26" s="18" t="s">
        <v>44</v>
      </c>
      <c r="F26" s="2"/>
      <c r="G26" s="2"/>
      <c r="H26" s="35"/>
      <c r="I26" s="2"/>
      <c r="J26" s="2"/>
      <c r="K26" s="9">
        <v>1</v>
      </c>
      <c r="L26" s="9" t="str">
        <f t="shared" si="0"/>
        <v>2444 SVEUČILIŠTE U RIJECI</v>
      </c>
      <c r="M26" s="10">
        <v>2444</v>
      </c>
      <c r="N26" s="11" t="s">
        <v>101</v>
      </c>
      <c r="O26" s="11" t="s">
        <v>101</v>
      </c>
      <c r="P26" s="11" t="s">
        <v>102</v>
      </c>
      <c r="Q26" s="11" t="s">
        <v>103</v>
      </c>
      <c r="R26" s="12">
        <v>3337413</v>
      </c>
      <c r="S26" s="13" t="s">
        <v>104</v>
      </c>
      <c r="T26" s="13" t="s">
        <v>23</v>
      </c>
      <c r="U26" s="14" t="s">
        <v>24</v>
      </c>
      <c r="V26" s="2"/>
      <c r="W26" s="2"/>
      <c r="X26" s="2"/>
      <c r="Y26" s="2"/>
      <c r="Z26" s="2"/>
      <c r="AA26" s="2"/>
      <c r="AB26" s="2"/>
    </row>
    <row r="27" spans="1:28" ht="28.8">
      <c r="A27" s="23">
        <v>8</v>
      </c>
      <c r="B27" s="20" t="s">
        <v>105</v>
      </c>
      <c r="C27" s="24">
        <f>'PLAN PRIHODA I PRIMITAKA '!C72</f>
        <v>0</v>
      </c>
      <c r="D27" s="24">
        <f>'PLAN PRIHODA I PRIMITAKA '!C72</f>
        <v>0</v>
      </c>
      <c r="E27" s="24">
        <f>'PLAN PRIHODA I PRIMITAKA '!C108</f>
        <v>0</v>
      </c>
      <c r="F27" s="2"/>
      <c r="G27" s="2"/>
      <c r="H27" s="2"/>
      <c r="I27" s="2"/>
      <c r="J27" s="2"/>
      <c r="K27" s="9">
        <v>2</v>
      </c>
      <c r="L27" s="9" t="str">
        <f t="shared" si="0"/>
        <v>38454 SVEUČILIŠTE U RIJECI - AKADEMIJA PRIMJENJENIH UMJETNOSTI</v>
      </c>
      <c r="M27" s="10">
        <v>38454</v>
      </c>
      <c r="N27" s="11" t="s">
        <v>106</v>
      </c>
      <c r="O27" s="11" t="s">
        <v>101</v>
      </c>
      <c r="P27" s="11" t="s">
        <v>107</v>
      </c>
      <c r="Q27" s="11" t="s">
        <v>103</v>
      </c>
      <c r="R27" s="12">
        <v>1954253</v>
      </c>
      <c r="S27" s="13" t="s">
        <v>108</v>
      </c>
      <c r="T27" s="13" t="s">
        <v>23</v>
      </c>
      <c r="U27" s="14" t="s">
        <v>24</v>
      </c>
      <c r="V27" s="2"/>
      <c r="W27" s="2"/>
      <c r="X27" s="2"/>
      <c r="Y27" s="2"/>
      <c r="Z27" s="2"/>
      <c r="AA27" s="2"/>
      <c r="AB27" s="2"/>
    </row>
    <row r="28" spans="1:28" ht="28.8">
      <c r="A28" s="23">
        <v>5</v>
      </c>
      <c r="B28" s="20" t="s">
        <v>109</v>
      </c>
      <c r="C28" s="24">
        <f>'PLAN RASHODA I IZDATAKA'!C58</f>
        <v>0</v>
      </c>
      <c r="D28" s="24">
        <f>'PLAN RASHODA I IZDATAKA'!C86</f>
        <v>0</v>
      </c>
      <c r="E28" s="24">
        <f>'PLAN RASHODA I IZDATAKA'!C106</f>
        <v>0</v>
      </c>
      <c r="F28" s="36"/>
      <c r="G28" s="2"/>
      <c r="H28" s="2"/>
      <c r="I28" s="2"/>
      <c r="J28" s="2"/>
      <c r="K28" s="9">
        <v>3</v>
      </c>
      <c r="L28" s="9" t="str">
        <f t="shared" si="0"/>
        <v>2186 SVEUČILIŠTE U RIJECI - EKONOMSKI FAKULTET</v>
      </c>
      <c r="M28" s="10">
        <v>2186</v>
      </c>
      <c r="N28" s="11" t="s">
        <v>110</v>
      </c>
      <c r="O28" s="11" t="s">
        <v>101</v>
      </c>
      <c r="P28" s="11" t="s">
        <v>111</v>
      </c>
      <c r="Q28" s="11" t="s">
        <v>103</v>
      </c>
      <c r="R28" s="12">
        <v>3328627</v>
      </c>
      <c r="S28" s="13" t="s">
        <v>112</v>
      </c>
      <c r="T28" s="13" t="s">
        <v>23</v>
      </c>
      <c r="U28" s="14" t="s">
        <v>24</v>
      </c>
      <c r="V28" s="2"/>
      <c r="W28" s="2"/>
      <c r="X28" s="2"/>
      <c r="Y28" s="2"/>
      <c r="Z28" s="2"/>
      <c r="AA28" s="2"/>
      <c r="AB28" s="2"/>
    </row>
    <row r="29" spans="1:28" ht="19.5" customHeight="1">
      <c r="A29" s="20"/>
      <c r="B29" s="20" t="s">
        <v>113</v>
      </c>
      <c r="C29" s="28">
        <f>+C27-C28</f>
        <v>0</v>
      </c>
      <c r="D29" s="28">
        <f>+D27-D28</f>
        <v>0</v>
      </c>
      <c r="E29" s="28">
        <f>+E27-E28</f>
        <v>0</v>
      </c>
      <c r="F29" s="2"/>
      <c r="G29" s="2"/>
      <c r="H29" s="2"/>
      <c r="I29" s="2"/>
      <c r="J29" s="2"/>
      <c r="K29" s="9">
        <v>4</v>
      </c>
      <c r="L29" s="9" t="str">
        <f t="shared" si="0"/>
        <v>2194 SVEUČILIŠTE U RIJECI - FAKULTET ZA MENADŽMENT U TURIZMU I UGOSTITELJSTVU</v>
      </c>
      <c r="M29" s="10">
        <v>2194</v>
      </c>
      <c r="N29" s="11" t="s">
        <v>114</v>
      </c>
      <c r="O29" s="11" t="s">
        <v>101</v>
      </c>
      <c r="P29" s="11" t="s">
        <v>115</v>
      </c>
      <c r="Q29" s="11" t="s">
        <v>116</v>
      </c>
      <c r="R29" s="12">
        <v>3091732</v>
      </c>
      <c r="S29" s="13" t="s">
        <v>117</v>
      </c>
      <c r="T29" s="13" t="s">
        <v>23</v>
      </c>
      <c r="U29" s="14" t="s">
        <v>24</v>
      </c>
      <c r="V29" s="2"/>
      <c r="W29" s="2"/>
      <c r="X29" s="2"/>
      <c r="Y29" s="2"/>
      <c r="Z29" s="2"/>
      <c r="AA29" s="2"/>
      <c r="AB29" s="2"/>
    </row>
    <row r="30" spans="1:28" ht="19.5" customHeight="1">
      <c r="B30" s="235"/>
      <c r="C30" s="235"/>
      <c r="D30" s="235"/>
      <c r="E30" s="235"/>
      <c r="F30" s="2"/>
      <c r="G30" s="2"/>
      <c r="H30" s="2"/>
      <c r="I30" s="2"/>
      <c r="J30" s="2"/>
      <c r="K30" s="9">
        <v>5</v>
      </c>
      <c r="L30" s="9" t="str">
        <f t="shared" si="0"/>
        <v>22857 SVEUČILIŠTE U RIJECI - FILOZOFSKI FAKULTET</v>
      </c>
      <c r="M30" s="10">
        <v>22857</v>
      </c>
      <c r="N30" s="11" t="s">
        <v>118</v>
      </c>
      <c r="O30" s="11" t="s">
        <v>101</v>
      </c>
      <c r="P30" s="11" t="s">
        <v>119</v>
      </c>
      <c r="Q30" s="11" t="s">
        <v>103</v>
      </c>
      <c r="R30" s="12">
        <v>3368491</v>
      </c>
      <c r="S30" s="13" t="s">
        <v>120</v>
      </c>
      <c r="T30" s="13" t="s">
        <v>23</v>
      </c>
      <c r="U30" s="14" t="s">
        <v>24</v>
      </c>
      <c r="V30" s="2"/>
      <c r="W30" s="2"/>
      <c r="X30" s="2"/>
      <c r="Y30" s="2"/>
      <c r="Z30" s="2"/>
      <c r="AA30" s="2"/>
      <c r="AB30" s="2"/>
    </row>
    <row r="31" spans="1:28" ht="28.8">
      <c r="A31" s="37"/>
      <c r="B31" s="37" t="s">
        <v>121</v>
      </c>
      <c r="C31" s="38">
        <f>+C20+C23+C24+C29</f>
        <v>0</v>
      </c>
      <c r="D31" s="38">
        <f>+D20+D23+D24+D29</f>
        <v>0</v>
      </c>
      <c r="E31" s="38">
        <f>+E20+E23+E24+E29</f>
        <v>0</v>
      </c>
      <c r="F31" s="2"/>
      <c r="G31" s="39"/>
      <c r="H31" s="2"/>
      <c r="I31" s="2"/>
      <c r="J31" s="2"/>
      <c r="K31" s="9">
        <v>6</v>
      </c>
      <c r="L31" s="9" t="str">
        <f t="shared" si="0"/>
        <v>2160 SVEUČILIŠTE U RIJECI - GRAĐEVINSKI FAKULTET U RIJECI</v>
      </c>
      <c r="M31" s="10">
        <v>2160</v>
      </c>
      <c r="N31" s="11" t="s">
        <v>122</v>
      </c>
      <c r="O31" s="11" t="s">
        <v>101</v>
      </c>
      <c r="P31" s="11" t="s">
        <v>123</v>
      </c>
      <c r="Q31" s="11" t="s">
        <v>103</v>
      </c>
      <c r="R31" s="12">
        <v>3395855</v>
      </c>
      <c r="S31" s="13" t="s">
        <v>124</v>
      </c>
      <c r="T31" s="13" t="s">
        <v>23</v>
      </c>
      <c r="U31" s="14" t="s">
        <v>24</v>
      </c>
      <c r="V31" s="2"/>
      <c r="W31" s="2"/>
      <c r="X31" s="2"/>
      <c r="Y31" s="2"/>
      <c r="Z31" s="2"/>
      <c r="AA31" s="2"/>
      <c r="AB31" s="2"/>
    </row>
    <row r="32" spans="1:28" ht="18.75" customHeight="1">
      <c r="A32" s="17"/>
      <c r="B32" s="17"/>
      <c r="C32" s="2"/>
      <c r="D32" s="2"/>
      <c r="E32" s="2"/>
      <c r="F32" s="2"/>
      <c r="G32" s="2"/>
      <c r="H32" s="2"/>
      <c r="I32" s="2"/>
      <c r="J32" s="2"/>
      <c r="K32" s="9">
        <v>7</v>
      </c>
      <c r="L32" s="9" t="str">
        <f t="shared" si="0"/>
        <v>2225 SVEUČILIŠTE U RIJECI - MEDICINSKI FAKULTET</v>
      </c>
      <c r="M32" s="10">
        <v>2225</v>
      </c>
      <c r="N32" s="11" t="s">
        <v>125</v>
      </c>
      <c r="O32" s="11" t="s">
        <v>101</v>
      </c>
      <c r="P32" s="11" t="s">
        <v>126</v>
      </c>
      <c r="Q32" s="11" t="s">
        <v>103</v>
      </c>
      <c r="R32" s="12">
        <v>3328554</v>
      </c>
      <c r="S32" s="13" t="s">
        <v>127</v>
      </c>
      <c r="T32" s="13" t="s">
        <v>23</v>
      </c>
      <c r="U32" s="14" t="s">
        <v>24</v>
      </c>
      <c r="V32" s="2"/>
      <c r="W32" s="2"/>
      <c r="X32" s="2"/>
      <c r="Y32" s="2"/>
      <c r="Z32" s="2"/>
      <c r="AA32" s="2"/>
      <c r="AB32" s="2"/>
    </row>
    <row r="33" spans="1:28" hidden="1">
      <c r="A33" s="40"/>
      <c r="B33" s="40"/>
      <c r="C33" s="40"/>
      <c r="D33" s="40"/>
      <c r="E33" s="40"/>
      <c r="F33" s="40"/>
      <c r="G33" s="41"/>
      <c r="H33" s="41"/>
      <c r="I33" s="41"/>
      <c r="J33" s="41"/>
      <c r="K33" s="9">
        <v>8</v>
      </c>
      <c r="L33" s="9" t="str">
        <f t="shared" si="0"/>
        <v>22568 SVEUČILIŠTE U RIJECI - POMORSKI FAKULTET</v>
      </c>
      <c r="M33" s="10">
        <v>22568</v>
      </c>
      <c r="N33" s="11" t="s">
        <v>128</v>
      </c>
      <c r="O33" s="11" t="s">
        <v>101</v>
      </c>
      <c r="P33" s="11" t="s">
        <v>129</v>
      </c>
      <c r="Q33" s="11" t="s">
        <v>103</v>
      </c>
      <c r="R33" s="12">
        <v>1580485</v>
      </c>
      <c r="S33" s="13" t="s">
        <v>130</v>
      </c>
      <c r="T33" s="13" t="s">
        <v>23</v>
      </c>
      <c r="U33" s="14" t="s">
        <v>24</v>
      </c>
      <c r="V33" s="41"/>
      <c r="W33" s="41"/>
      <c r="X33" s="41"/>
      <c r="Y33" s="41"/>
      <c r="Z33" s="41"/>
      <c r="AA33" s="41"/>
      <c r="AB33" s="41"/>
    </row>
    <row r="34" spans="1:28" hidden="1">
      <c r="A34" s="2"/>
      <c r="B34" s="2"/>
      <c r="C34" s="2"/>
      <c r="D34" s="2"/>
      <c r="E34" s="2"/>
      <c r="F34" s="2"/>
      <c r="G34" s="2"/>
      <c r="H34" s="2"/>
      <c r="I34" s="2"/>
      <c r="J34" s="2"/>
      <c r="K34" s="9">
        <v>9</v>
      </c>
      <c r="L34" s="9" t="str">
        <f t="shared" si="0"/>
        <v>2217 SVEUČILIŠTE U RIJECI - PRAVNI FAKULTET</v>
      </c>
      <c r="M34" s="10">
        <v>2217</v>
      </c>
      <c r="N34" s="11" t="s">
        <v>131</v>
      </c>
      <c r="O34" s="11" t="s">
        <v>101</v>
      </c>
      <c r="P34" s="11" t="s">
        <v>132</v>
      </c>
      <c r="Q34" s="11" t="s">
        <v>103</v>
      </c>
      <c r="R34" s="12">
        <v>3328562</v>
      </c>
      <c r="S34" s="13" t="s">
        <v>133</v>
      </c>
      <c r="T34" s="13" t="s">
        <v>23</v>
      </c>
      <c r="U34" s="14" t="s">
        <v>24</v>
      </c>
      <c r="V34" s="2"/>
      <c r="W34" s="2"/>
      <c r="X34" s="2"/>
      <c r="Y34" s="2"/>
      <c r="Z34" s="2"/>
      <c r="AA34" s="2"/>
      <c r="AB34" s="2"/>
    </row>
    <row r="35" spans="1:28" hidden="1">
      <c r="A35" s="2"/>
      <c r="B35" s="2"/>
      <c r="C35" s="2"/>
      <c r="D35" s="2"/>
      <c r="E35" s="2"/>
      <c r="F35" s="2"/>
      <c r="G35" s="2"/>
      <c r="H35" s="2"/>
      <c r="I35" s="2"/>
      <c r="J35" s="2"/>
      <c r="K35" s="9">
        <v>10</v>
      </c>
      <c r="L35" s="9" t="str">
        <f t="shared" si="0"/>
        <v>2493 SVEUČILIŠTE U RIJECI - SVEUČILIŠNA KNJIŽNICA</v>
      </c>
      <c r="M35" s="10">
        <v>2493</v>
      </c>
      <c r="N35" s="11" t="s">
        <v>134</v>
      </c>
      <c r="O35" s="11" t="s">
        <v>101</v>
      </c>
      <c r="P35" s="11" t="s">
        <v>135</v>
      </c>
      <c r="Q35" s="11" t="s">
        <v>103</v>
      </c>
      <c r="R35" s="12">
        <v>3328686</v>
      </c>
      <c r="S35" s="13" t="s">
        <v>136</v>
      </c>
      <c r="T35" s="13" t="s">
        <v>23</v>
      </c>
      <c r="U35" s="14" t="s">
        <v>24</v>
      </c>
      <c r="V35" s="2"/>
      <c r="W35" s="2"/>
      <c r="X35" s="2"/>
      <c r="Y35" s="2"/>
      <c r="Z35" s="2"/>
      <c r="AA35" s="2"/>
      <c r="AB35" s="2"/>
    </row>
    <row r="36" spans="1:28" hidden="1">
      <c r="A36" s="2"/>
      <c r="B36" s="2"/>
      <c r="C36" s="2"/>
      <c r="D36" s="2"/>
      <c r="E36" s="2"/>
      <c r="F36" s="2"/>
      <c r="G36" s="2"/>
      <c r="H36" s="2"/>
      <c r="I36" s="2"/>
      <c r="J36" s="2"/>
      <c r="K36" s="9">
        <v>11</v>
      </c>
      <c r="L36" s="9" t="str">
        <f t="shared" si="0"/>
        <v>2151 SVEUČILIŠTE U RIJECI - TEHNIČKI FAKULTET</v>
      </c>
      <c r="M36" s="10">
        <v>2151</v>
      </c>
      <c r="N36" s="11" t="s">
        <v>137</v>
      </c>
      <c r="O36" s="11" t="s">
        <v>101</v>
      </c>
      <c r="P36" s="11" t="s">
        <v>138</v>
      </c>
      <c r="Q36" s="11" t="s">
        <v>103</v>
      </c>
      <c r="R36" s="12">
        <v>3334317</v>
      </c>
      <c r="S36" s="13" t="s">
        <v>139</v>
      </c>
      <c r="T36" s="13" t="s">
        <v>23</v>
      </c>
      <c r="U36" s="14" t="s">
        <v>24</v>
      </c>
      <c r="V36" s="2"/>
      <c r="W36" s="2"/>
      <c r="X36" s="2"/>
      <c r="Y36" s="2"/>
      <c r="Z36" s="2"/>
      <c r="AA36" s="2"/>
      <c r="AB36" s="2"/>
    </row>
    <row r="37" spans="1:28" hidden="1">
      <c r="A37" s="2"/>
      <c r="B37" s="2"/>
      <c r="C37" s="2"/>
      <c r="D37" s="2"/>
      <c r="E37" s="2"/>
      <c r="F37" s="2"/>
      <c r="G37" s="2"/>
      <c r="H37" s="2"/>
      <c r="I37" s="2"/>
      <c r="J37" s="2"/>
      <c r="K37" s="9">
        <v>12</v>
      </c>
      <c r="L37" s="9" t="str">
        <f t="shared" si="0"/>
        <v>40947 SVEUČILIŠTE U RIJECI - UČITELJSKI FAKULTET</v>
      </c>
      <c r="M37" s="10">
        <v>40947</v>
      </c>
      <c r="N37" s="11" t="s">
        <v>140</v>
      </c>
      <c r="O37" s="11" t="s">
        <v>101</v>
      </c>
      <c r="P37" s="11" t="s">
        <v>141</v>
      </c>
      <c r="Q37" s="11" t="s">
        <v>103</v>
      </c>
      <c r="R37" s="12">
        <v>2116073</v>
      </c>
      <c r="S37" s="13" t="s">
        <v>142</v>
      </c>
      <c r="T37" s="13" t="s">
        <v>23</v>
      </c>
      <c r="U37" s="14" t="s">
        <v>24</v>
      </c>
      <c r="V37" s="2"/>
      <c r="W37" s="2"/>
      <c r="X37" s="2"/>
      <c r="Y37" s="2"/>
      <c r="Z37" s="2"/>
      <c r="AA37" s="2"/>
      <c r="AB37" s="2"/>
    </row>
    <row r="38" spans="1:28" hidden="1">
      <c r="A38" s="2"/>
      <c r="B38" s="2"/>
      <c r="C38" s="2"/>
      <c r="D38" s="2"/>
      <c r="E38" s="2"/>
      <c r="F38" s="2"/>
      <c r="G38" s="2"/>
      <c r="H38" s="2"/>
      <c r="I38" s="2"/>
      <c r="J38" s="2"/>
      <c r="K38" s="9">
        <v>13</v>
      </c>
      <c r="L38" s="9" t="str">
        <f t="shared" si="0"/>
        <v>48023 SVEUČILIŠTE U RIJECI - FAKULTET ZDRAVSTVENIH STUDIJA U RIJECI</v>
      </c>
      <c r="M38" s="10">
        <v>48023</v>
      </c>
      <c r="N38" s="11" t="s">
        <v>143</v>
      </c>
      <c r="O38" s="11" t="s">
        <v>101</v>
      </c>
      <c r="P38" s="11" t="s">
        <v>144</v>
      </c>
      <c r="Q38" s="11" t="s">
        <v>103</v>
      </c>
      <c r="R38" s="12" t="s">
        <v>145</v>
      </c>
      <c r="S38" s="13" t="s">
        <v>146</v>
      </c>
      <c r="T38" s="13" t="s">
        <v>23</v>
      </c>
      <c r="U38" s="14" t="s">
        <v>24</v>
      </c>
      <c r="V38" s="2"/>
      <c r="W38" s="2"/>
      <c r="X38" s="2"/>
      <c r="Y38" s="2"/>
      <c r="Z38" s="2"/>
      <c r="AA38" s="2"/>
      <c r="AB38" s="2"/>
    </row>
    <row r="39" spans="1:28" hidden="1">
      <c r="A39" s="2"/>
      <c r="B39" s="2"/>
      <c r="C39" s="2"/>
      <c r="D39" s="2"/>
      <c r="E39" s="2"/>
      <c r="F39" s="2"/>
      <c r="G39" s="2"/>
      <c r="H39" s="2"/>
      <c r="I39" s="2"/>
      <c r="J39" s="2"/>
      <c r="K39" s="9">
        <v>1</v>
      </c>
      <c r="L39" s="9" t="str">
        <f t="shared" ref="L39:L70" si="1">M39&amp;" "&amp;N39</f>
        <v>2469 SVEUČILIŠTE U SPLITU</v>
      </c>
      <c r="M39" s="10">
        <v>2469</v>
      </c>
      <c r="N39" s="11" t="s">
        <v>147</v>
      </c>
      <c r="O39" s="11" t="s">
        <v>147</v>
      </c>
      <c r="P39" s="11" t="s">
        <v>148</v>
      </c>
      <c r="Q39" s="11" t="s">
        <v>149</v>
      </c>
      <c r="R39" s="12">
        <v>3129306</v>
      </c>
      <c r="S39" s="13" t="s">
        <v>150</v>
      </c>
      <c r="T39" s="13" t="s">
        <v>23</v>
      </c>
      <c r="U39" s="14" t="s">
        <v>24</v>
      </c>
      <c r="V39" s="2"/>
      <c r="W39" s="2"/>
      <c r="X39" s="2"/>
      <c r="Y39" s="2"/>
      <c r="Z39" s="2"/>
      <c r="AA39" s="2"/>
      <c r="AB39" s="2"/>
    </row>
    <row r="40" spans="1:28" hidden="1">
      <c r="A40" s="2"/>
      <c r="B40" s="2"/>
      <c r="C40" s="2"/>
      <c r="D40" s="2"/>
      <c r="E40" s="2"/>
      <c r="F40" s="2"/>
      <c r="G40" s="2"/>
      <c r="H40" s="2"/>
      <c r="I40" s="2"/>
      <c r="J40" s="2"/>
      <c r="K40" s="9">
        <v>2</v>
      </c>
      <c r="L40" s="9" t="str">
        <f t="shared" si="1"/>
        <v>2372 SVEUČILIŠTE U SPLITU - EKONOMSKI FAKULTET</v>
      </c>
      <c r="M40" s="10">
        <v>2372</v>
      </c>
      <c r="N40" s="11" t="s">
        <v>151</v>
      </c>
      <c r="O40" s="11" t="s">
        <v>147</v>
      </c>
      <c r="P40" s="11" t="s">
        <v>152</v>
      </c>
      <c r="Q40" s="11" t="s">
        <v>149</v>
      </c>
      <c r="R40" s="12">
        <v>3119076</v>
      </c>
      <c r="S40" s="13" t="s">
        <v>153</v>
      </c>
      <c r="T40" s="13" t="s">
        <v>23</v>
      </c>
      <c r="U40" s="14" t="s">
        <v>24</v>
      </c>
      <c r="V40" s="2"/>
      <c r="W40" s="2"/>
      <c r="X40" s="2"/>
      <c r="Y40" s="2"/>
      <c r="Z40" s="2"/>
      <c r="AA40" s="2"/>
      <c r="AB40" s="2"/>
    </row>
    <row r="41" spans="1:28" hidden="1">
      <c r="A41" s="2"/>
      <c r="B41" s="2"/>
      <c r="C41" s="2"/>
      <c r="D41" s="2"/>
      <c r="E41" s="2"/>
      <c r="F41" s="2"/>
      <c r="G41" s="2"/>
      <c r="H41" s="2"/>
      <c r="I41" s="2"/>
      <c r="J41" s="2"/>
      <c r="K41" s="9">
        <v>3</v>
      </c>
      <c r="L41" s="9" t="str">
        <f t="shared" si="1"/>
        <v>2330 SVEUČILIŠTE U SPLITU - FAKULTET ELEKTROTEHNIKE, STROJARSTVA I BRODOGRADNJE</v>
      </c>
      <c r="M41" s="10">
        <v>2330</v>
      </c>
      <c r="N41" s="11" t="s">
        <v>154</v>
      </c>
      <c r="O41" s="11" t="s">
        <v>147</v>
      </c>
      <c r="P41" s="11" t="s">
        <v>155</v>
      </c>
      <c r="Q41" s="11" t="s">
        <v>149</v>
      </c>
      <c r="R41" s="12">
        <v>3118339</v>
      </c>
      <c r="S41" s="13" t="s">
        <v>156</v>
      </c>
      <c r="T41" s="13" t="s">
        <v>23</v>
      </c>
      <c r="U41" s="14" t="s">
        <v>24</v>
      </c>
      <c r="V41" s="2"/>
      <c r="W41" s="2"/>
      <c r="X41" s="2"/>
      <c r="Y41" s="2"/>
      <c r="Z41" s="2"/>
      <c r="AA41" s="2"/>
      <c r="AB41" s="2"/>
    </row>
    <row r="42" spans="1:28" hidden="1">
      <c r="A42" s="2"/>
      <c r="B42" s="2"/>
      <c r="C42" s="2"/>
      <c r="D42" s="2"/>
      <c r="E42" s="2"/>
      <c r="F42" s="2"/>
      <c r="G42" s="2"/>
      <c r="H42" s="2"/>
      <c r="I42" s="2"/>
      <c r="J42" s="2"/>
      <c r="K42" s="9">
        <v>4</v>
      </c>
      <c r="L42" s="9" t="str">
        <f t="shared" si="1"/>
        <v>22435 SVEUČILIŠTE U SPLITU - FILOZOFSKI FAKULTET</v>
      </c>
      <c r="M42" s="10">
        <v>22435</v>
      </c>
      <c r="N42" s="11" t="s">
        <v>157</v>
      </c>
      <c r="O42" s="11" t="s">
        <v>147</v>
      </c>
      <c r="P42" s="11" t="s">
        <v>158</v>
      </c>
      <c r="Q42" s="11" t="s">
        <v>149</v>
      </c>
      <c r="R42" s="12">
        <v>1413236</v>
      </c>
      <c r="S42" s="13" t="s">
        <v>159</v>
      </c>
      <c r="T42" s="13" t="s">
        <v>23</v>
      </c>
      <c r="U42" s="14" t="s">
        <v>24</v>
      </c>
      <c r="V42" s="2"/>
      <c r="W42" s="2"/>
      <c r="X42" s="2"/>
      <c r="Y42" s="2"/>
      <c r="Z42" s="2"/>
      <c r="AA42" s="2"/>
      <c r="AB42" s="2"/>
    </row>
    <row r="43" spans="1:28" hidden="1">
      <c r="A43" s="2"/>
      <c r="B43" s="2"/>
      <c r="C43" s="2"/>
      <c r="D43" s="2"/>
      <c r="E43" s="2"/>
      <c r="F43" s="2"/>
      <c r="G43" s="2"/>
      <c r="H43" s="2"/>
      <c r="I43" s="2"/>
      <c r="J43" s="2"/>
      <c r="K43" s="9">
        <v>5</v>
      </c>
      <c r="L43" s="9" t="str">
        <f t="shared" si="1"/>
        <v>2348 SVEUČILIŠTE U SPLITU - FAKULTET GRAĐEVINARSTVA, ARHITEKTURE I GEODEZIJE</v>
      </c>
      <c r="M43" s="10">
        <v>2348</v>
      </c>
      <c r="N43" s="11" t="s">
        <v>160</v>
      </c>
      <c r="O43" s="11" t="s">
        <v>147</v>
      </c>
      <c r="P43" s="11" t="s">
        <v>161</v>
      </c>
      <c r="Q43" s="11" t="s">
        <v>149</v>
      </c>
      <c r="R43" s="12">
        <v>3149463</v>
      </c>
      <c r="S43" s="13" t="s">
        <v>162</v>
      </c>
      <c r="T43" s="13" t="s">
        <v>23</v>
      </c>
      <c r="U43" s="14" t="s">
        <v>24</v>
      </c>
      <c r="V43" s="2"/>
      <c r="W43" s="2"/>
      <c r="X43" s="2"/>
      <c r="Y43" s="2"/>
      <c r="Z43" s="2"/>
      <c r="AA43" s="2"/>
      <c r="AB43" s="2"/>
    </row>
    <row r="44" spans="1:28" hidden="1">
      <c r="A44" s="2"/>
      <c r="B44" s="2"/>
      <c r="C44" s="2"/>
      <c r="D44" s="2"/>
      <c r="E44" s="2"/>
      <c r="F44" s="2"/>
      <c r="G44" s="2"/>
      <c r="H44" s="2"/>
      <c r="I44" s="2"/>
      <c r="J44" s="2"/>
      <c r="K44" s="9">
        <v>6</v>
      </c>
      <c r="L44" s="9" t="str">
        <f t="shared" si="1"/>
        <v>2356 SVEUČILIŠTE U SPLITU - KEMIJSKO-TEHNOLOŠKI FAKULTET</v>
      </c>
      <c r="M44" s="10">
        <v>2356</v>
      </c>
      <c r="N44" s="11" t="s">
        <v>163</v>
      </c>
      <c r="O44" s="11" t="s">
        <v>147</v>
      </c>
      <c r="P44" s="11" t="s">
        <v>164</v>
      </c>
      <c r="Q44" s="11" t="s">
        <v>149</v>
      </c>
      <c r="R44" s="12">
        <v>3119068</v>
      </c>
      <c r="S44" s="13" t="s">
        <v>165</v>
      </c>
      <c r="T44" s="13" t="s">
        <v>23</v>
      </c>
      <c r="U44" s="14" t="s">
        <v>24</v>
      </c>
      <c r="V44" s="2"/>
      <c r="W44" s="2"/>
      <c r="X44" s="2"/>
      <c r="Y44" s="2"/>
      <c r="Z44" s="2"/>
      <c r="AA44" s="2"/>
      <c r="AB44" s="2"/>
    </row>
    <row r="45" spans="1:28" hidden="1">
      <c r="A45" s="2"/>
      <c r="B45" s="2"/>
      <c r="C45" s="2"/>
      <c r="D45" s="2"/>
      <c r="E45" s="2"/>
      <c r="F45" s="2"/>
      <c r="G45" s="2"/>
      <c r="H45" s="2"/>
      <c r="I45" s="2"/>
      <c r="J45" s="2"/>
      <c r="K45" s="9">
        <v>7</v>
      </c>
      <c r="L45" s="9" t="str">
        <f t="shared" si="1"/>
        <v>43773 SVEUČILIŠTE U SPLITU - KINEZIOLOŠKI FAKULTET</v>
      </c>
      <c r="M45" s="10">
        <v>43773</v>
      </c>
      <c r="N45" s="11" t="s">
        <v>166</v>
      </c>
      <c r="O45" s="11" t="s">
        <v>147</v>
      </c>
      <c r="P45" s="11" t="s">
        <v>167</v>
      </c>
      <c r="Q45" s="11" t="s">
        <v>149</v>
      </c>
      <c r="R45" s="12">
        <v>2393255</v>
      </c>
      <c r="S45" s="13" t="s">
        <v>168</v>
      </c>
      <c r="T45" s="13" t="s">
        <v>23</v>
      </c>
      <c r="U45" s="14" t="s">
        <v>24</v>
      </c>
      <c r="V45" s="2"/>
      <c r="W45" s="2"/>
      <c r="X45" s="2"/>
      <c r="Y45" s="2"/>
      <c r="Z45" s="2"/>
      <c r="AA45" s="2"/>
      <c r="AB45" s="2"/>
    </row>
    <row r="46" spans="1:28" hidden="1">
      <c r="A46" s="2"/>
      <c r="B46" s="2"/>
      <c r="C46" s="2"/>
      <c r="D46" s="2"/>
      <c r="E46" s="2"/>
      <c r="F46" s="2"/>
      <c r="G46" s="2"/>
      <c r="H46" s="2"/>
      <c r="I46" s="2"/>
      <c r="J46" s="2"/>
      <c r="K46" s="9">
        <v>8</v>
      </c>
      <c r="L46" s="9" t="str">
        <f t="shared" si="1"/>
        <v>23368 SVEUČILIŠTE U SPLITU - KATOLIČKI BOGOSLOVNI FAKULTET</v>
      </c>
      <c r="M46" s="42">
        <v>23368</v>
      </c>
      <c r="N46" s="11" t="s">
        <v>169</v>
      </c>
      <c r="O46" s="11" t="s">
        <v>147</v>
      </c>
      <c r="P46" s="11" t="s">
        <v>170</v>
      </c>
      <c r="Q46" s="11" t="s">
        <v>149</v>
      </c>
      <c r="R46" s="12">
        <v>1465643</v>
      </c>
      <c r="S46" s="13">
        <v>36149548625</v>
      </c>
      <c r="T46" s="13" t="s">
        <v>23</v>
      </c>
      <c r="U46" s="14" t="s">
        <v>24</v>
      </c>
      <c r="V46" s="2"/>
      <c r="W46" s="2"/>
      <c r="X46" s="2"/>
      <c r="Y46" s="2"/>
      <c r="Z46" s="2"/>
      <c r="AA46" s="2"/>
      <c r="AB46" s="2"/>
    </row>
    <row r="47" spans="1:28" hidden="1">
      <c r="A47" s="2"/>
      <c r="B47" s="2"/>
      <c r="C47" s="2"/>
      <c r="D47" s="2"/>
      <c r="E47" s="2"/>
      <c r="F47" s="2"/>
      <c r="G47" s="2"/>
      <c r="H47" s="2"/>
      <c r="I47" s="2"/>
      <c r="J47" s="2"/>
      <c r="K47" s="9">
        <v>9</v>
      </c>
      <c r="L47" s="9" t="str">
        <f t="shared" si="1"/>
        <v>22451 SVEUČILIŠTE U SPLITU - MEDICINSKI FAKULTET</v>
      </c>
      <c r="M47" s="10">
        <v>22451</v>
      </c>
      <c r="N47" s="11" t="s">
        <v>171</v>
      </c>
      <c r="O47" s="11" t="s">
        <v>147</v>
      </c>
      <c r="P47" s="11" t="s">
        <v>172</v>
      </c>
      <c r="Q47" s="11" t="s">
        <v>149</v>
      </c>
      <c r="R47" s="12">
        <v>1315366</v>
      </c>
      <c r="S47" s="13" t="s">
        <v>173</v>
      </c>
      <c r="T47" s="13" t="s">
        <v>23</v>
      </c>
      <c r="U47" s="14" t="s">
        <v>24</v>
      </c>
      <c r="V47" s="2"/>
      <c r="W47" s="2"/>
      <c r="X47" s="2"/>
      <c r="Y47" s="2"/>
      <c r="Z47" s="2"/>
      <c r="AA47" s="2"/>
      <c r="AB47" s="2"/>
    </row>
    <row r="48" spans="1:28" hidden="1">
      <c r="A48" s="2"/>
      <c r="B48" s="2"/>
      <c r="C48" s="2"/>
      <c r="D48" s="2"/>
      <c r="E48" s="2"/>
      <c r="F48" s="2"/>
      <c r="G48" s="2"/>
      <c r="H48" s="2"/>
      <c r="I48" s="2"/>
      <c r="J48" s="2"/>
      <c r="K48" s="9">
        <v>10</v>
      </c>
      <c r="L48" s="9" t="str">
        <f t="shared" si="1"/>
        <v>22460 SVEUČILIŠTE U SPLITU - POMORSKI FAKULTET</v>
      </c>
      <c r="M48" s="10">
        <v>22460</v>
      </c>
      <c r="N48" s="11" t="s">
        <v>174</v>
      </c>
      <c r="O48" s="11" t="s">
        <v>147</v>
      </c>
      <c r="P48" s="11" t="s">
        <v>175</v>
      </c>
      <c r="Q48" s="11" t="s">
        <v>149</v>
      </c>
      <c r="R48" s="12">
        <v>1406043</v>
      </c>
      <c r="S48" s="13" t="s">
        <v>176</v>
      </c>
      <c r="T48" s="13" t="s">
        <v>23</v>
      </c>
      <c r="U48" s="14" t="s">
        <v>24</v>
      </c>
      <c r="V48" s="2"/>
      <c r="W48" s="2"/>
      <c r="X48" s="2"/>
      <c r="Y48" s="2"/>
      <c r="Z48" s="2"/>
      <c r="AA48" s="2"/>
      <c r="AB48" s="2"/>
    </row>
    <row r="49" spans="1:28" hidden="1">
      <c r="A49" s="2"/>
      <c r="B49" s="2"/>
      <c r="C49" s="2"/>
      <c r="D49" s="2"/>
      <c r="E49" s="2"/>
      <c r="F49" s="2"/>
      <c r="G49" s="2"/>
      <c r="H49" s="2"/>
      <c r="I49" s="2"/>
      <c r="J49" s="2"/>
      <c r="K49" s="9">
        <v>11</v>
      </c>
      <c r="L49" s="9" t="str">
        <f t="shared" si="1"/>
        <v>2397 SVEUČILIŠTE U SPLITU - PRAVNI FAKULTET</v>
      </c>
      <c r="M49" s="10">
        <v>2397</v>
      </c>
      <c r="N49" s="11" t="s">
        <v>177</v>
      </c>
      <c r="O49" s="11" t="s">
        <v>147</v>
      </c>
      <c r="P49" s="11" t="s">
        <v>178</v>
      </c>
      <c r="Q49" s="11" t="s">
        <v>149</v>
      </c>
      <c r="R49" s="12">
        <v>3118347</v>
      </c>
      <c r="S49" s="13" t="s">
        <v>179</v>
      </c>
      <c r="T49" s="13" t="s">
        <v>23</v>
      </c>
      <c r="U49" s="14" t="s">
        <v>24</v>
      </c>
      <c r="V49" s="2"/>
      <c r="W49" s="2"/>
      <c r="X49" s="2"/>
      <c r="Y49" s="2"/>
      <c r="Z49" s="2"/>
      <c r="AA49" s="2"/>
      <c r="AB49" s="2"/>
    </row>
    <row r="50" spans="1:28" hidden="1">
      <c r="A50" s="2"/>
      <c r="B50" s="2"/>
      <c r="C50" s="2"/>
      <c r="D50" s="2"/>
      <c r="E50" s="2"/>
      <c r="F50" s="2"/>
      <c r="G50" s="2"/>
      <c r="H50" s="2"/>
      <c r="I50" s="2"/>
      <c r="J50" s="2"/>
      <c r="K50" s="9">
        <v>12</v>
      </c>
      <c r="L50" s="9" t="str">
        <f t="shared" si="1"/>
        <v>2410 SVEUČILIŠTE U SPLITU - PRIRODOSLOVNO - MATEMATIČKI FAKULTET</v>
      </c>
      <c r="M50" s="10">
        <v>2410</v>
      </c>
      <c r="N50" s="11" t="s">
        <v>180</v>
      </c>
      <c r="O50" s="11" t="s">
        <v>147</v>
      </c>
      <c r="P50" s="11" t="s">
        <v>181</v>
      </c>
      <c r="Q50" s="11" t="s">
        <v>149</v>
      </c>
      <c r="R50" s="12">
        <v>3199622</v>
      </c>
      <c r="S50" s="13" t="s">
        <v>182</v>
      </c>
      <c r="T50" s="13" t="s">
        <v>23</v>
      </c>
      <c r="U50" s="14" t="s">
        <v>24</v>
      </c>
      <c r="V50" s="2"/>
      <c r="W50" s="2"/>
      <c r="X50" s="2"/>
      <c r="Y50" s="2"/>
      <c r="Z50" s="2"/>
      <c r="AA50" s="2"/>
      <c r="AB50" s="2"/>
    </row>
    <row r="51" spans="1:28" hidden="1">
      <c r="A51" s="2"/>
      <c r="B51" s="2"/>
      <c r="C51" s="2"/>
      <c r="D51" s="2"/>
      <c r="E51" s="2"/>
      <c r="F51" s="2"/>
      <c r="G51" s="2"/>
      <c r="H51" s="2"/>
      <c r="I51" s="2"/>
      <c r="J51" s="2"/>
      <c r="K51" s="9">
        <v>13</v>
      </c>
      <c r="L51" s="9" t="str">
        <f t="shared" si="1"/>
        <v>2524 SVEUČILIŠTE U SPLITU - SVEUČILIŠNA KNJIŽNICA</v>
      </c>
      <c r="M51" s="10">
        <v>2524</v>
      </c>
      <c r="N51" s="11" t="s">
        <v>183</v>
      </c>
      <c r="O51" s="11" t="s">
        <v>147</v>
      </c>
      <c r="P51" s="11" t="s">
        <v>184</v>
      </c>
      <c r="Q51" s="11" t="s">
        <v>149</v>
      </c>
      <c r="R51" s="12">
        <v>3118436</v>
      </c>
      <c r="S51" s="13" t="s">
        <v>185</v>
      </c>
      <c r="T51" s="13" t="s">
        <v>23</v>
      </c>
      <c r="U51" s="14" t="s">
        <v>24</v>
      </c>
      <c r="V51" s="2"/>
      <c r="W51" s="2"/>
      <c r="X51" s="2"/>
      <c r="Y51" s="2"/>
      <c r="Z51" s="2"/>
      <c r="AA51" s="2"/>
      <c r="AB51" s="2"/>
    </row>
    <row r="52" spans="1:28" hidden="1">
      <c r="A52" s="2"/>
      <c r="B52" s="2"/>
      <c r="C52" s="2"/>
      <c r="D52" s="2"/>
      <c r="E52" s="2"/>
      <c r="F52" s="2"/>
      <c r="G52" s="2"/>
      <c r="H52" s="2"/>
      <c r="I52" s="2"/>
      <c r="J52" s="2"/>
      <c r="K52" s="9">
        <v>14</v>
      </c>
      <c r="L52" s="9" t="str">
        <f t="shared" si="1"/>
        <v>22478 SVEUČILIŠTE U SPLITU - UMJETNIČKA AKADEMIJA</v>
      </c>
      <c r="M52" s="10">
        <v>22478</v>
      </c>
      <c r="N52" s="11" t="s">
        <v>186</v>
      </c>
      <c r="O52" s="11" t="s">
        <v>147</v>
      </c>
      <c r="P52" s="11" t="s">
        <v>187</v>
      </c>
      <c r="Q52" s="11" t="s">
        <v>149</v>
      </c>
      <c r="R52" s="12">
        <v>1321358</v>
      </c>
      <c r="S52" s="13" t="s">
        <v>188</v>
      </c>
      <c r="T52" s="13" t="s">
        <v>23</v>
      </c>
      <c r="U52" s="14" t="s">
        <v>24</v>
      </c>
      <c r="V52" s="2"/>
      <c r="W52" s="2"/>
      <c r="X52" s="2"/>
      <c r="Y52" s="2"/>
      <c r="Z52" s="2"/>
      <c r="AA52" s="2"/>
      <c r="AB52" s="2"/>
    </row>
    <row r="53" spans="1:28" hidden="1">
      <c r="A53" s="2"/>
      <c r="B53" s="2"/>
      <c r="C53" s="2"/>
      <c r="D53" s="2"/>
      <c r="E53" s="2"/>
      <c r="F53" s="2"/>
      <c r="G53" s="2"/>
      <c r="H53" s="2"/>
      <c r="I53" s="2"/>
      <c r="J53" s="2"/>
      <c r="K53" s="9">
        <v>1</v>
      </c>
      <c r="L53" s="9" t="str">
        <f t="shared" si="1"/>
        <v>2436 SVEUČILIŠTE U ZAGREBU</v>
      </c>
      <c r="M53" s="10">
        <v>2436</v>
      </c>
      <c r="N53" s="11" t="s">
        <v>189</v>
      </c>
      <c r="O53" s="11" t="s">
        <v>147</v>
      </c>
      <c r="P53" s="11" t="s">
        <v>190</v>
      </c>
      <c r="Q53" s="11" t="s">
        <v>191</v>
      </c>
      <c r="R53" s="12">
        <v>3211592</v>
      </c>
      <c r="S53" s="13" t="s">
        <v>192</v>
      </c>
      <c r="T53" s="13" t="s">
        <v>23</v>
      </c>
      <c r="U53" s="14" t="s">
        <v>24</v>
      </c>
      <c r="V53" s="2"/>
      <c r="W53" s="2"/>
      <c r="X53" s="2"/>
      <c r="Y53" s="2"/>
      <c r="Z53" s="2"/>
      <c r="AA53" s="2"/>
      <c r="AB53" s="2"/>
    </row>
    <row r="54" spans="1:28" hidden="1">
      <c r="A54" s="2"/>
      <c r="B54" s="2"/>
      <c r="C54" s="2"/>
      <c r="D54" s="2"/>
      <c r="E54" s="2"/>
      <c r="F54" s="2"/>
      <c r="G54" s="2"/>
      <c r="H54" s="2"/>
      <c r="I54" s="2"/>
      <c r="J54" s="2"/>
      <c r="K54" s="9">
        <v>2</v>
      </c>
      <c r="L54" s="9" t="str">
        <f t="shared" si="1"/>
        <v>1923 SVEUČILIŠTE U ZAGREBU - AGRONOMSKI FAKULTET</v>
      </c>
      <c r="M54" s="10">
        <v>1923</v>
      </c>
      <c r="N54" s="11" t="s">
        <v>193</v>
      </c>
      <c r="O54" s="11" t="s">
        <v>147</v>
      </c>
      <c r="P54" s="11" t="s">
        <v>194</v>
      </c>
      <c r="Q54" s="11" t="s">
        <v>191</v>
      </c>
      <c r="R54" s="12">
        <v>3283097</v>
      </c>
      <c r="S54" s="13" t="s">
        <v>195</v>
      </c>
      <c r="T54" s="13" t="s">
        <v>23</v>
      </c>
      <c r="U54" s="14" t="s">
        <v>24</v>
      </c>
      <c r="V54" s="2"/>
      <c r="W54" s="2"/>
      <c r="X54" s="2"/>
      <c r="Y54" s="2"/>
      <c r="Z54" s="2"/>
      <c r="AA54" s="2"/>
      <c r="AB54" s="2"/>
    </row>
    <row r="55" spans="1:28" hidden="1">
      <c r="A55" s="2"/>
      <c r="B55" s="2"/>
      <c r="C55" s="2"/>
      <c r="D55" s="2"/>
      <c r="E55" s="2"/>
      <c r="F55" s="2"/>
      <c r="G55" s="2"/>
      <c r="H55" s="2"/>
      <c r="I55" s="2"/>
      <c r="J55" s="2"/>
      <c r="K55" s="9">
        <v>3</v>
      </c>
      <c r="L55" s="9" t="str">
        <f t="shared" si="1"/>
        <v>1974 SVEUČILIŠTE U ZAGREBU - AKADEMIJA DRAMSKE UMJETNOSTI</v>
      </c>
      <c r="M55" s="10">
        <v>1974</v>
      </c>
      <c r="N55" s="11" t="s">
        <v>196</v>
      </c>
      <c r="O55" s="11" t="s">
        <v>147</v>
      </c>
      <c r="P55" s="11" t="s">
        <v>197</v>
      </c>
      <c r="Q55" s="11" t="s">
        <v>191</v>
      </c>
      <c r="R55" s="12">
        <v>3205029</v>
      </c>
      <c r="S55" s="13" t="s">
        <v>198</v>
      </c>
      <c r="T55" s="13" t="s">
        <v>23</v>
      </c>
      <c r="U55" s="14" t="s">
        <v>24</v>
      </c>
      <c r="V55" s="2"/>
      <c r="W55" s="2"/>
      <c r="X55" s="2"/>
      <c r="Y55" s="2"/>
      <c r="Z55" s="2"/>
      <c r="AA55" s="2"/>
      <c r="AB55" s="2"/>
    </row>
    <row r="56" spans="1:28" hidden="1">
      <c r="A56" s="2"/>
      <c r="B56" s="2"/>
      <c r="C56" s="2"/>
      <c r="D56" s="2"/>
      <c r="E56" s="2"/>
      <c r="F56" s="2"/>
      <c r="G56" s="2"/>
      <c r="H56" s="2"/>
      <c r="I56" s="2"/>
      <c r="J56" s="2"/>
      <c r="K56" s="9">
        <v>4</v>
      </c>
      <c r="L56" s="9" t="str">
        <f t="shared" si="1"/>
        <v>1982 SVEUČILIŠTE U ZAGREBU - AKADEMIJA LIKOVNIH UMJETNOSTI</v>
      </c>
      <c r="M56" s="10">
        <v>1982</v>
      </c>
      <c r="N56" s="11" t="s">
        <v>199</v>
      </c>
      <c r="O56" s="11" t="s">
        <v>147</v>
      </c>
      <c r="P56" s="11" t="s">
        <v>200</v>
      </c>
      <c r="Q56" s="11" t="s">
        <v>191</v>
      </c>
      <c r="R56" s="12">
        <v>3207919</v>
      </c>
      <c r="S56" s="13" t="s">
        <v>201</v>
      </c>
      <c r="T56" s="13" t="s">
        <v>23</v>
      </c>
      <c r="U56" s="14" t="s">
        <v>24</v>
      </c>
      <c r="V56" s="2"/>
      <c r="W56" s="2"/>
      <c r="X56" s="2"/>
      <c r="Y56" s="2"/>
      <c r="Z56" s="2"/>
      <c r="AA56" s="2"/>
      <c r="AB56" s="2"/>
    </row>
    <row r="57" spans="1:28" hidden="1">
      <c r="A57" s="2"/>
      <c r="B57" s="2"/>
      <c r="C57" s="2"/>
      <c r="D57" s="2"/>
      <c r="E57" s="2"/>
      <c r="F57" s="2"/>
      <c r="G57" s="2"/>
      <c r="H57" s="2"/>
      <c r="I57" s="2"/>
      <c r="J57" s="2"/>
      <c r="K57" s="9">
        <v>5</v>
      </c>
      <c r="L57" s="9" t="str">
        <f t="shared" si="1"/>
        <v xml:space="preserve">1861 SVEUČILIŠTE U ZAGREBU - ARHITEKTONSKI FAKULTET </v>
      </c>
      <c r="M57" s="10">
        <v>1861</v>
      </c>
      <c r="N57" s="11" t="s">
        <v>202</v>
      </c>
      <c r="O57" s="11" t="s">
        <v>147</v>
      </c>
      <c r="P57" s="11" t="s">
        <v>203</v>
      </c>
      <c r="Q57" s="11" t="s">
        <v>191</v>
      </c>
      <c r="R57" s="12">
        <v>3204952</v>
      </c>
      <c r="S57" s="13" t="s">
        <v>204</v>
      </c>
      <c r="T57" s="13" t="s">
        <v>23</v>
      </c>
      <c r="U57" s="14" t="s">
        <v>24</v>
      </c>
      <c r="V57" s="2"/>
      <c r="W57" s="2"/>
      <c r="X57" s="2"/>
      <c r="Y57" s="2"/>
      <c r="Z57" s="2"/>
      <c r="AA57" s="2"/>
      <c r="AB57" s="2"/>
    </row>
    <row r="58" spans="1:28" hidden="1">
      <c r="A58" s="2"/>
      <c r="B58" s="2"/>
      <c r="C58" s="2"/>
      <c r="D58" s="2"/>
      <c r="E58" s="2"/>
      <c r="F58" s="2"/>
      <c r="G58" s="2"/>
      <c r="H58" s="2"/>
      <c r="I58" s="2"/>
      <c r="J58" s="2"/>
      <c r="K58" s="9">
        <v>6</v>
      </c>
      <c r="L58" s="9" t="str">
        <f t="shared" si="1"/>
        <v xml:space="preserve">1966 SVEUČILIŠTE U ZAGREBU - EDUKACIJSKO-REHABILITACIJSKI FAKULTET </v>
      </c>
      <c r="M58" s="10">
        <v>1966</v>
      </c>
      <c r="N58" s="11" t="s">
        <v>205</v>
      </c>
      <c r="O58" s="11" t="s">
        <v>147</v>
      </c>
      <c r="P58" s="11" t="s">
        <v>206</v>
      </c>
      <c r="Q58" s="11" t="s">
        <v>191</v>
      </c>
      <c r="R58" s="12">
        <v>3219780</v>
      </c>
      <c r="S58" s="13" t="s">
        <v>207</v>
      </c>
      <c r="T58" s="13" t="s">
        <v>23</v>
      </c>
      <c r="U58" s="14" t="s">
        <v>24</v>
      </c>
      <c r="V58" s="2"/>
      <c r="W58" s="2"/>
      <c r="X58" s="2"/>
      <c r="Y58" s="2"/>
      <c r="Z58" s="2"/>
      <c r="AA58" s="2"/>
      <c r="AB58" s="2"/>
    </row>
    <row r="59" spans="1:28" hidden="1">
      <c r="A59" s="2"/>
      <c r="B59" s="2"/>
      <c r="C59" s="2"/>
      <c r="D59" s="2"/>
      <c r="E59" s="2"/>
      <c r="F59" s="2"/>
      <c r="G59" s="2"/>
      <c r="H59" s="2"/>
      <c r="I59" s="2"/>
      <c r="J59" s="2"/>
      <c r="K59" s="9">
        <v>7</v>
      </c>
      <c r="L59" s="9" t="str">
        <f t="shared" si="1"/>
        <v>1931 SVEUČILIŠTE U ZAGREBU - EKONOMSKI FAKULTET</v>
      </c>
      <c r="M59" s="10">
        <v>1931</v>
      </c>
      <c r="N59" s="11" t="s">
        <v>208</v>
      </c>
      <c r="O59" s="11" t="s">
        <v>147</v>
      </c>
      <c r="P59" s="11" t="s">
        <v>209</v>
      </c>
      <c r="Q59" s="11" t="s">
        <v>191</v>
      </c>
      <c r="R59" s="12">
        <v>3272079</v>
      </c>
      <c r="S59" s="13" t="s">
        <v>210</v>
      </c>
      <c r="T59" s="13" t="s">
        <v>23</v>
      </c>
      <c r="U59" s="14" t="s">
        <v>24</v>
      </c>
      <c r="V59" s="2"/>
      <c r="W59" s="2"/>
      <c r="X59" s="2"/>
      <c r="Y59" s="2"/>
      <c r="Z59" s="2"/>
      <c r="AA59" s="2"/>
      <c r="AB59" s="2"/>
    </row>
    <row r="60" spans="1:28" hidden="1">
      <c r="A60" s="2"/>
      <c r="B60" s="2"/>
      <c r="C60" s="2"/>
      <c r="D60" s="2"/>
      <c r="E60" s="2"/>
      <c r="F60" s="2"/>
      <c r="G60" s="2"/>
      <c r="H60" s="2"/>
      <c r="I60" s="2"/>
      <c r="J60" s="2"/>
      <c r="K60" s="9">
        <v>8</v>
      </c>
      <c r="L60" s="9" t="str">
        <f t="shared" si="1"/>
        <v>1757 SVEUČILIŠTE U ZAGREBU - FAKULTET ELEKTROTEHNIKE I RAČUNARSTVA</v>
      </c>
      <c r="M60" s="10">
        <v>1757</v>
      </c>
      <c r="N60" s="11" t="s">
        <v>211</v>
      </c>
      <c r="O60" s="11" t="s">
        <v>147</v>
      </c>
      <c r="P60" s="11" t="s">
        <v>212</v>
      </c>
      <c r="Q60" s="11" t="s">
        <v>191</v>
      </c>
      <c r="R60" s="12">
        <v>3276643</v>
      </c>
      <c r="S60" s="13" t="s">
        <v>213</v>
      </c>
      <c r="T60" s="13" t="s">
        <v>23</v>
      </c>
      <c r="U60" s="14" t="s">
        <v>24</v>
      </c>
      <c r="V60" s="2"/>
      <c r="W60" s="2"/>
      <c r="X60" s="2"/>
      <c r="Y60" s="2"/>
      <c r="Z60" s="2"/>
      <c r="AA60" s="2"/>
      <c r="AB60" s="2"/>
    </row>
    <row r="61" spans="1:28" hidden="1">
      <c r="A61" s="2"/>
      <c r="B61" s="2"/>
      <c r="C61" s="2"/>
      <c r="D61" s="2"/>
      <c r="E61" s="2"/>
      <c r="F61" s="2"/>
      <c r="G61" s="2"/>
      <c r="H61" s="2"/>
      <c r="I61" s="2"/>
      <c r="J61" s="2"/>
      <c r="K61" s="9">
        <v>9</v>
      </c>
      <c r="L61" s="9" t="str">
        <f t="shared" si="1"/>
        <v>6154 SVEUČILIŠTA U ZAGREBU - FAKULTET FILOZOFIJE I RELIGIJSKIH ZNANOSTI</v>
      </c>
      <c r="M61" s="10">
        <v>6154</v>
      </c>
      <c r="N61" s="11" t="s">
        <v>214</v>
      </c>
      <c r="O61" s="11" t="s">
        <v>147</v>
      </c>
      <c r="P61" s="11" t="s">
        <v>215</v>
      </c>
      <c r="Q61" s="11" t="s">
        <v>191</v>
      </c>
      <c r="R61" s="12">
        <v>1235664</v>
      </c>
      <c r="S61" s="13" t="s">
        <v>216</v>
      </c>
      <c r="T61" s="13" t="s">
        <v>23</v>
      </c>
      <c r="U61" s="14" t="s">
        <v>24</v>
      </c>
      <c r="V61" s="2"/>
      <c r="W61" s="2"/>
      <c r="X61" s="2"/>
      <c r="Y61" s="2"/>
      <c r="Z61" s="2"/>
      <c r="AA61" s="2"/>
      <c r="AB61" s="2"/>
    </row>
    <row r="62" spans="1:28" hidden="1">
      <c r="A62" s="2"/>
      <c r="B62" s="2"/>
      <c r="C62" s="2"/>
      <c r="D62" s="2"/>
      <c r="E62" s="2"/>
      <c r="F62" s="2"/>
      <c r="G62" s="2"/>
      <c r="H62" s="2"/>
      <c r="I62" s="2"/>
      <c r="J62" s="2"/>
      <c r="K62" s="9">
        <v>10</v>
      </c>
      <c r="L62" s="9" t="str">
        <f t="shared" si="1"/>
        <v xml:space="preserve">2135 SVEUČILIŠTE U ZAGREBU - KATOLIČKI BOGOSLOVNI FAKULTET </v>
      </c>
      <c r="M62" s="10">
        <v>2135</v>
      </c>
      <c r="N62" s="11" t="s">
        <v>217</v>
      </c>
      <c r="O62" s="11" t="s">
        <v>147</v>
      </c>
      <c r="P62" s="11" t="s">
        <v>218</v>
      </c>
      <c r="Q62" s="11" t="s">
        <v>191</v>
      </c>
      <c r="R62" s="12">
        <v>3703088</v>
      </c>
      <c r="S62" s="13">
        <v>48987767944</v>
      </c>
      <c r="T62" s="13" t="s">
        <v>23</v>
      </c>
      <c r="U62" s="14" t="s">
        <v>24</v>
      </c>
      <c r="V62" s="2"/>
      <c r="W62" s="2"/>
      <c r="X62" s="2"/>
      <c r="Y62" s="2"/>
      <c r="Z62" s="2"/>
      <c r="AA62" s="2"/>
      <c r="AB62" s="2"/>
    </row>
    <row r="63" spans="1:28" hidden="1">
      <c r="A63" s="2"/>
      <c r="B63" s="2"/>
      <c r="C63" s="2"/>
      <c r="D63" s="2"/>
      <c r="E63" s="2"/>
      <c r="F63" s="2"/>
      <c r="G63" s="2"/>
      <c r="H63" s="2"/>
      <c r="I63" s="2"/>
      <c r="J63" s="2"/>
      <c r="K63" s="9">
        <v>11</v>
      </c>
      <c r="L63" s="9" t="str">
        <f t="shared" si="1"/>
        <v>1790 SVEUČILIŠTE U ZAGREBU - FAKULTET KEMIJSKOG INŽENJERSTVA I TEHNOLOGIJE</v>
      </c>
      <c r="M63" s="10">
        <v>1790</v>
      </c>
      <c r="N63" s="11" t="s">
        <v>219</v>
      </c>
      <c r="O63" s="11" t="s">
        <v>147</v>
      </c>
      <c r="P63" s="11" t="s">
        <v>220</v>
      </c>
      <c r="Q63" s="11" t="s">
        <v>191</v>
      </c>
      <c r="R63" s="12">
        <v>3250270</v>
      </c>
      <c r="S63" s="13" t="s">
        <v>221</v>
      </c>
      <c r="T63" s="13" t="s">
        <v>23</v>
      </c>
      <c r="U63" s="14" t="s">
        <v>24</v>
      </c>
      <c r="V63" s="2"/>
      <c r="W63" s="2"/>
      <c r="X63" s="2"/>
      <c r="Y63" s="2"/>
      <c r="Z63" s="2"/>
      <c r="AA63" s="2"/>
      <c r="AB63" s="2"/>
    </row>
    <row r="64" spans="1:28" hidden="1">
      <c r="A64" s="2"/>
      <c r="B64" s="2"/>
      <c r="C64" s="2"/>
      <c r="D64" s="2"/>
      <c r="E64" s="2"/>
      <c r="F64" s="2"/>
      <c r="G64" s="2"/>
      <c r="H64" s="2"/>
      <c r="I64" s="2"/>
      <c r="J64" s="2"/>
      <c r="K64" s="9">
        <v>12</v>
      </c>
      <c r="L64" s="9" t="str">
        <f t="shared" si="1"/>
        <v>1907 SVEUČILIŠTE U ZAGREBU - FAKULTET POLITIČKIH ZNANOSTI</v>
      </c>
      <c r="M64" s="10">
        <v>1907</v>
      </c>
      <c r="N64" s="11" t="s">
        <v>222</v>
      </c>
      <c r="O64" s="11" t="s">
        <v>147</v>
      </c>
      <c r="P64" s="11" t="s">
        <v>223</v>
      </c>
      <c r="Q64" s="11" t="s">
        <v>191</v>
      </c>
      <c r="R64" s="12">
        <v>3270262</v>
      </c>
      <c r="S64" s="13" t="s">
        <v>224</v>
      </c>
      <c r="T64" s="13" t="s">
        <v>23</v>
      </c>
      <c r="U64" s="14" t="s">
        <v>24</v>
      </c>
      <c r="V64" s="2"/>
      <c r="W64" s="2"/>
      <c r="X64" s="2"/>
      <c r="Y64" s="2"/>
      <c r="Z64" s="2"/>
      <c r="AA64" s="2"/>
      <c r="AB64" s="2"/>
    </row>
    <row r="65" spans="1:28" hidden="1">
      <c r="A65" s="2"/>
      <c r="B65" s="2"/>
      <c r="C65" s="2"/>
      <c r="D65" s="2"/>
      <c r="E65" s="2"/>
      <c r="F65" s="2"/>
      <c r="G65" s="2"/>
      <c r="H65" s="2"/>
      <c r="I65" s="2"/>
      <c r="J65" s="2"/>
      <c r="K65" s="9">
        <v>13</v>
      </c>
      <c r="L65" s="9" t="str">
        <f t="shared" si="1"/>
        <v>1812 SVEUČILIŠTE U ZAGREBU - FAKULTET PROMETNIH ZNANOSTI</v>
      </c>
      <c r="M65" s="10">
        <v>1812</v>
      </c>
      <c r="N65" s="11" t="s">
        <v>225</v>
      </c>
      <c r="O65" s="11" t="s">
        <v>147</v>
      </c>
      <c r="P65" s="11" t="s">
        <v>226</v>
      </c>
      <c r="Q65" s="11" t="s">
        <v>191</v>
      </c>
      <c r="R65" s="12">
        <v>3260771</v>
      </c>
      <c r="S65" s="13" t="s">
        <v>227</v>
      </c>
      <c r="T65" s="13" t="s">
        <v>23</v>
      </c>
      <c r="U65" s="14" t="s">
        <v>24</v>
      </c>
      <c r="V65" s="2"/>
      <c r="W65" s="2"/>
      <c r="X65" s="2"/>
      <c r="Y65" s="2"/>
      <c r="Z65" s="2"/>
      <c r="AA65" s="2"/>
      <c r="AB65" s="2"/>
    </row>
    <row r="66" spans="1:28" hidden="1">
      <c r="A66" s="2"/>
      <c r="B66" s="2"/>
      <c r="C66" s="2"/>
      <c r="D66" s="2"/>
      <c r="E66" s="2"/>
      <c r="F66" s="2"/>
      <c r="G66" s="2"/>
      <c r="H66" s="2"/>
      <c r="I66" s="2"/>
      <c r="J66" s="2"/>
      <c r="K66" s="9">
        <v>14</v>
      </c>
      <c r="L66" s="9" t="str">
        <f t="shared" si="1"/>
        <v>1829 SVEUČILIŠTE U ZAGREBU - FAKULTET STROJARSTVA I BRODOGRADNJE</v>
      </c>
      <c r="M66" s="10">
        <v>1829</v>
      </c>
      <c r="N66" s="11" t="s">
        <v>228</v>
      </c>
      <c r="O66" s="11" t="s">
        <v>147</v>
      </c>
      <c r="P66" s="11" t="s">
        <v>229</v>
      </c>
      <c r="Q66" s="11" t="s">
        <v>191</v>
      </c>
      <c r="R66" s="12">
        <v>3276546</v>
      </c>
      <c r="S66" s="13" t="s">
        <v>230</v>
      </c>
      <c r="T66" s="13" t="s">
        <v>23</v>
      </c>
      <c r="U66" s="14" t="s">
        <v>24</v>
      </c>
      <c r="V66" s="2"/>
      <c r="W66" s="2"/>
      <c r="X66" s="2"/>
      <c r="Y66" s="2"/>
      <c r="Z66" s="2"/>
      <c r="AA66" s="2"/>
      <c r="AB66" s="2"/>
    </row>
    <row r="67" spans="1:28" hidden="1">
      <c r="A67" s="2"/>
      <c r="B67" s="2"/>
      <c r="C67" s="2"/>
      <c r="D67" s="2"/>
      <c r="E67" s="2"/>
      <c r="F67" s="2"/>
      <c r="G67" s="2"/>
      <c r="H67" s="2"/>
      <c r="I67" s="2"/>
      <c r="J67" s="2"/>
      <c r="K67" s="9">
        <v>15</v>
      </c>
      <c r="L67" s="9" t="str">
        <f t="shared" si="1"/>
        <v xml:space="preserve">2014 SVEUČILIŠTE U ZAGREBU - FARMACEUTSKO-BIOKEMIJSKI FAKULTET </v>
      </c>
      <c r="M67" s="10">
        <v>2014</v>
      </c>
      <c r="N67" s="11" t="s">
        <v>231</v>
      </c>
      <c r="O67" s="11" t="s">
        <v>147</v>
      </c>
      <c r="P67" s="11" t="s">
        <v>232</v>
      </c>
      <c r="Q67" s="11" t="s">
        <v>191</v>
      </c>
      <c r="R67" s="12">
        <v>3205037</v>
      </c>
      <c r="S67" s="13" t="s">
        <v>233</v>
      </c>
      <c r="T67" s="13" t="s">
        <v>23</v>
      </c>
      <c r="U67" s="14" t="s">
        <v>24</v>
      </c>
      <c r="V67" s="2"/>
      <c r="W67" s="2"/>
      <c r="X67" s="2"/>
      <c r="Y67" s="2"/>
      <c r="Z67" s="2"/>
      <c r="AA67" s="2"/>
      <c r="AB67" s="2"/>
    </row>
    <row r="68" spans="1:28" hidden="1">
      <c r="A68" s="2"/>
      <c r="B68" s="2"/>
      <c r="C68" s="2"/>
      <c r="D68" s="2"/>
      <c r="E68" s="2"/>
      <c r="F68" s="2"/>
      <c r="G68" s="2"/>
      <c r="H68" s="2"/>
      <c r="I68" s="2"/>
      <c r="J68" s="2"/>
      <c r="K68" s="9">
        <v>16</v>
      </c>
      <c r="L68" s="9" t="str">
        <f t="shared" si="1"/>
        <v>1958 SVEUČILIŠTE U ZAGREBU - FILOZOFSKI FAKULTET</v>
      </c>
      <c r="M68" s="10">
        <v>1958</v>
      </c>
      <c r="N68" s="11" t="s">
        <v>234</v>
      </c>
      <c r="O68" s="11" t="s">
        <v>147</v>
      </c>
      <c r="P68" s="11" t="s">
        <v>235</v>
      </c>
      <c r="Q68" s="11" t="s">
        <v>191</v>
      </c>
      <c r="R68" s="12">
        <v>3254852</v>
      </c>
      <c r="S68" s="13" t="s">
        <v>236</v>
      </c>
      <c r="T68" s="13" t="s">
        <v>23</v>
      </c>
      <c r="U68" s="14" t="s">
        <v>24</v>
      </c>
      <c r="V68" s="2"/>
      <c r="W68" s="2"/>
      <c r="X68" s="2"/>
      <c r="Y68" s="2"/>
      <c r="Z68" s="2"/>
      <c r="AA68" s="2"/>
      <c r="AB68" s="2"/>
    </row>
    <row r="69" spans="1:28" hidden="1">
      <c r="A69" s="2"/>
      <c r="B69" s="2"/>
      <c r="C69" s="2"/>
      <c r="D69" s="2"/>
      <c r="E69" s="2"/>
      <c r="F69" s="2"/>
      <c r="G69" s="2"/>
      <c r="H69" s="2"/>
      <c r="I69" s="2"/>
      <c r="J69" s="2"/>
      <c r="K69" s="9">
        <v>17</v>
      </c>
      <c r="L69" s="9" t="str">
        <f t="shared" si="1"/>
        <v>1853 SVEUČILIŠTE U ZAGREBU - GEODETSKI FAKULTET</v>
      </c>
      <c r="M69" s="10">
        <v>1853</v>
      </c>
      <c r="N69" s="11" t="s">
        <v>237</v>
      </c>
      <c r="O69" s="11" t="s">
        <v>147</v>
      </c>
      <c r="P69" s="11" t="s">
        <v>238</v>
      </c>
      <c r="Q69" s="11" t="s">
        <v>191</v>
      </c>
      <c r="R69" s="12">
        <v>3204987</v>
      </c>
      <c r="S69" s="13" t="s">
        <v>239</v>
      </c>
      <c r="T69" s="13" t="s">
        <v>23</v>
      </c>
      <c r="U69" s="14" t="s">
        <v>24</v>
      </c>
      <c r="V69" s="2"/>
      <c r="W69" s="2"/>
      <c r="X69" s="2"/>
      <c r="Y69" s="2"/>
      <c r="Z69" s="2"/>
      <c r="AA69" s="2"/>
      <c r="AB69" s="2"/>
    </row>
    <row r="70" spans="1:28" hidden="1">
      <c r="A70" s="2"/>
      <c r="B70" s="2"/>
      <c r="C70" s="2"/>
      <c r="D70" s="2"/>
      <c r="E70" s="2"/>
      <c r="F70" s="2"/>
      <c r="G70" s="2"/>
      <c r="H70" s="2"/>
      <c r="I70" s="2"/>
      <c r="J70" s="2"/>
      <c r="K70" s="9">
        <v>18</v>
      </c>
      <c r="L70" s="9" t="str">
        <f t="shared" si="1"/>
        <v>2102 SVEUČILIŠTE U ZAGREBU - GEOTEHNIČKI FAKULTET</v>
      </c>
      <c r="M70" s="10">
        <v>2102</v>
      </c>
      <c r="N70" s="11" t="s">
        <v>240</v>
      </c>
      <c r="O70" s="11" t="s">
        <v>147</v>
      </c>
      <c r="P70" s="11" t="s">
        <v>241</v>
      </c>
      <c r="Q70" s="11" t="s">
        <v>242</v>
      </c>
      <c r="R70" s="12">
        <v>3042316</v>
      </c>
      <c r="S70" s="13" t="s">
        <v>243</v>
      </c>
      <c r="T70" s="13" t="s">
        <v>23</v>
      </c>
      <c r="U70" s="14" t="s">
        <v>24</v>
      </c>
      <c r="V70" s="2"/>
      <c r="W70" s="2"/>
      <c r="X70" s="2"/>
      <c r="Y70" s="2"/>
      <c r="Z70" s="2"/>
      <c r="AA70" s="2"/>
      <c r="AB70" s="2"/>
    </row>
    <row r="71" spans="1:28" hidden="1">
      <c r="A71" s="2"/>
      <c r="B71" s="2"/>
      <c r="C71" s="2"/>
      <c r="D71" s="2"/>
      <c r="E71" s="2"/>
      <c r="F71" s="2"/>
      <c r="G71" s="2"/>
      <c r="H71" s="2"/>
      <c r="I71" s="2"/>
      <c r="J71" s="2"/>
      <c r="K71" s="9">
        <v>19</v>
      </c>
      <c r="L71" s="9" t="str">
        <f t="shared" ref="L71:L102" si="2">M71&amp;" "&amp;N71</f>
        <v>1837 SVEUČILIŠTE U ZAGREBU - GRAĐEVINSKI FAKULTET</v>
      </c>
      <c r="M71" s="10">
        <v>1837</v>
      </c>
      <c r="N71" s="11" t="s">
        <v>244</v>
      </c>
      <c r="O71" s="11" t="s">
        <v>147</v>
      </c>
      <c r="P71" s="11" t="s">
        <v>245</v>
      </c>
      <c r="Q71" s="11" t="s">
        <v>191</v>
      </c>
      <c r="R71" s="12">
        <v>3227120</v>
      </c>
      <c r="S71" s="13" t="s">
        <v>246</v>
      </c>
      <c r="T71" s="13" t="s">
        <v>23</v>
      </c>
      <c r="U71" s="14" t="s">
        <v>24</v>
      </c>
      <c r="V71" s="2"/>
      <c r="W71" s="2"/>
      <c r="X71" s="2"/>
      <c r="Y71" s="2"/>
      <c r="Z71" s="2"/>
      <c r="AA71" s="2"/>
      <c r="AB71" s="2"/>
    </row>
    <row r="72" spans="1:28" hidden="1">
      <c r="A72" s="2"/>
      <c r="B72" s="2"/>
      <c r="C72" s="2"/>
      <c r="D72" s="2"/>
      <c r="E72" s="2"/>
      <c r="F72" s="2"/>
      <c r="G72" s="2"/>
      <c r="H72" s="2"/>
      <c r="I72" s="2"/>
      <c r="J72" s="2"/>
      <c r="K72" s="9">
        <v>20</v>
      </c>
      <c r="L72" s="9" t="str">
        <f t="shared" si="2"/>
        <v>2080 SVEUČILIŠTE U ZAGREBU - GRAFIČKI FAKULTET</v>
      </c>
      <c r="M72" s="10">
        <v>2080</v>
      </c>
      <c r="N72" s="11" t="s">
        <v>247</v>
      </c>
      <c r="O72" s="11" t="s">
        <v>147</v>
      </c>
      <c r="P72" s="11" t="s">
        <v>248</v>
      </c>
      <c r="Q72" s="11" t="s">
        <v>191</v>
      </c>
      <c r="R72" s="12">
        <v>3219763</v>
      </c>
      <c r="S72" s="13" t="s">
        <v>249</v>
      </c>
      <c r="T72" s="13" t="s">
        <v>23</v>
      </c>
      <c r="U72" s="14" t="s">
        <v>24</v>
      </c>
      <c r="V72" s="2"/>
      <c r="W72" s="2"/>
      <c r="X72" s="2"/>
      <c r="Y72" s="2"/>
      <c r="Z72" s="2"/>
      <c r="AA72" s="2"/>
      <c r="AB72" s="2"/>
    </row>
    <row r="73" spans="1:28" hidden="1">
      <c r="A73" s="2"/>
      <c r="B73" s="2"/>
      <c r="C73" s="2"/>
      <c r="D73" s="2"/>
      <c r="E73" s="2"/>
      <c r="F73" s="2"/>
      <c r="G73" s="2"/>
      <c r="H73" s="2"/>
      <c r="I73" s="2"/>
      <c r="J73" s="2"/>
      <c r="K73" s="9">
        <v>21</v>
      </c>
      <c r="L73" s="9" t="str">
        <f t="shared" si="2"/>
        <v>2006 SVEUČILIŠTE U ZAGREBU - KINEZIOLOŠKI FAKULTET</v>
      </c>
      <c r="M73" s="10">
        <v>2006</v>
      </c>
      <c r="N73" s="11" t="s">
        <v>250</v>
      </c>
      <c r="O73" s="11" t="s">
        <v>147</v>
      </c>
      <c r="P73" s="11" t="s">
        <v>251</v>
      </c>
      <c r="Q73" s="11" t="s">
        <v>191</v>
      </c>
      <c r="R73" s="12">
        <v>3274080</v>
      </c>
      <c r="S73" s="13" t="s">
        <v>252</v>
      </c>
      <c r="T73" s="13" t="s">
        <v>23</v>
      </c>
      <c r="U73" s="14" t="s">
        <v>24</v>
      </c>
      <c r="V73" s="2"/>
      <c r="W73" s="2"/>
      <c r="X73" s="2"/>
      <c r="Y73" s="2"/>
      <c r="Z73" s="2"/>
      <c r="AA73" s="2"/>
      <c r="AB73" s="2"/>
    </row>
    <row r="74" spans="1:28" hidden="1">
      <c r="A74" s="2"/>
      <c r="B74" s="2"/>
      <c r="C74" s="2"/>
      <c r="D74" s="2"/>
      <c r="E74" s="2"/>
      <c r="F74" s="2"/>
      <c r="G74" s="2"/>
      <c r="H74" s="2"/>
      <c r="I74" s="2"/>
      <c r="J74" s="2"/>
      <c r="K74" s="9">
        <v>22</v>
      </c>
      <c r="L74" s="9" t="str">
        <f t="shared" si="2"/>
        <v>1888 SVEUČILIŠTE U ZAGREBU - MEDICINSKI FAKULTET</v>
      </c>
      <c r="M74" s="10">
        <v>1888</v>
      </c>
      <c r="N74" s="11" t="s">
        <v>253</v>
      </c>
      <c r="O74" s="11" t="s">
        <v>147</v>
      </c>
      <c r="P74" s="11" t="s">
        <v>254</v>
      </c>
      <c r="Q74" s="11" t="s">
        <v>191</v>
      </c>
      <c r="R74" s="12">
        <v>3270211</v>
      </c>
      <c r="S74" s="13" t="s">
        <v>255</v>
      </c>
      <c r="T74" s="13" t="s">
        <v>23</v>
      </c>
      <c r="U74" s="14" t="s">
        <v>24</v>
      </c>
      <c r="V74" s="2"/>
      <c r="W74" s="2"/>
      <c r="X74" s="2"/>
      <c r="Y74" s="2"/>
      <c r="Z74" s="2"/>
      <c r="AA74" s="2"/>
      <c r="AB74" s="2"/>
    </row>
    <row r="75" spans="1:28" hidden="1">
      <c r="A75" s="2"/>
      <c r="B75" s="2"/>
      <c r="C75" s="2"/>
      <c r="D75" s="2"/>
      <c r="E75" s="2"/>
      <c r="F75" s="2"/>
      <c r="G75" s="2"/>
      <c r="H75" s="2"/>
      <c r="I75" s="2"/>
      <c r="J75" s="2"/>
      <c r="K75" s="9">
        <v>23</v>
      </c>
      <c r="L75" s="9" t="str">
        <f t="shared" si="2"/>
        <v>2071 SVEUČILIŠTE U ZAGREBU - METALURŠKI FAKULTET SISAK</v>
      </c>
      <c r="M75" s="10">
        <v>2071</v>
      </c>
      <c r="N75" s="11" t="s">
        <v>256</v>
      </c>
      <c r="O75" s="11" t="s">
        <v>147</v>
      </c>
      <c r="P75" s="11" t="s">
        <v>257</v>
      </c>
      <c r="Q75" s="11" t="s">
        <v>258</v>
      </c>
      <c r="R75" s="12">
        <v>3313786</v>
      </c>
      <c r="S75" s="13" t="s">
        <v>259</v>
      </c>
      <c r="T75" s="13" t="s">
        <v>23</v>
      </c>
      <c r="U75" s="14" t="s">
        <v>24</v>
      </c>
      <c r="V75" s="2"/>
      <c r="W75" s="2"/>
      <c r="X75" s="2"/>
      <c r="Y75" s="2"/>
      <c r="Z75" s="2"/>
      <c r="AA75" s="2"/>
      <c r="AB75" s="2"/>
    </row>
    <row r="76" spans="1:28" hidden="1">
      <c r="A76" s="2"/>
      <c r="B76" s="2"/>
      <c r="C76" s="2"/>
      <c r="D76" s="2"/>
      <c r="E76" s="2"/>
      <c r="F76" s="2"/>
      <c r="G76" s="2"/>
      <c r="H76" s="2"/>
      <c r="I76" s="2"/>
      <c r="J76" s="2"/>
      <c r="K76" s="9">
        <v>24</v>
      </c>
      <c r="L76" s="9" t="str">
        <f t="shared" si="2"/>
        <v>1999 SVEUČILIŠTE U ZAGREBU - MUZIČKA AKADEMIJA</v>
      </c>
      <c r="M76" s="10">
        <v>1999</v>
      </c>
      <c r="N76" s="11" t="s">
        <v>260</v>
      </c>
      <c r="O76" s="11" t="s">
        <v>147</v>
      </c>
      <c r="P76" s="11" t="s">
        <v>261</v>
      </c>
      <c r="Q76" s="11" t="s">
        <v>191</v>
      </c>
      <c r="R76" s="12">
        <v>3205002</v>
      </c>
      <c r="S76" s="13" t="s">
        <v>262</v>
      </c>
      <c r="T76" s="13" t="s">
        <v>23</v>
      </c>
      <c r="U76" s="14" t="s">
        <v>24</v>
      </c>
      <c r="V76" s="2"/>
      <c r="W76" s="2"/>
      <c r="X76" s="2"/>
      <c r="Y76" s="2"/>
      <c r="Z76" s="2"/>
      <c r="AA76" s="2"/>
      <c r="AB76" s="2"/>
    </row>
    <row r="77" spans="1:28" hidden="1">
      <c r="A77" s="2"/>
      <c r="B77" s="2"/>
      <c r="C77" s="2"/>
      <c r="D77" s="2"/>
      <c r="E77" s="2"/>
      <c r="F77" s="2"/>
      <c r="G77" s="2"/>
      <c r="H77" s="2"/>
      <c r="I77" s="2"/>
      <c r="J77" s="2"/>
      <c r="K77" s="9">
        <v>25</v>
      </c>
      <c r="L77" s="9" t="str">
        <f t="shared" si="2"/>
        <v>1915 SVEUČILIŠTE U ZAGREBU - PRAVNI FAKULTET</v>
      </c>
      <c r="M77" s="10">
        <v>1915</v>
      </c>
      <c r="N77" s="11" t="s">
        <v>263</v>
      </c>
      <c r="O77" s="11" t="s">
        <v>147</v>
      </c>
      <c r="P77" s="11" t="s">
        <v>264</v>
      </c>
      <c r="Q77" s="11" t="s">
        <v>191</v>
      </c>
      <c r="R77" s="12">
        <v>3225909</v>
      </c>
      <c r="S77" s="13" t="s">
        <v>265</v>
      </c>
      <c r="T77" s="13" t="s">
        <v>23</v>
      </c>
      <c r="U77" s="14" t="s">
        <v>24</v>
      </c>
      <c r="V77" s="2"/>
      <c r="W77" s="2"/>
      <c r="X77" s="2"/>
      <c r="Y77" s="2"/>
      <c r="Z77" s="2"/>
      <c r="AA77" s="2"/>
      <c r="AB77" s="2"/>
    </row>
    <row r="78" spans="1:28" hidden="1">
      <c r="A78" s="2"/>
      <c r="B78" s="2"/>
      <c r="C78" s="2"/>
      <c r="D78" s="2"/>
      <c r="E78" s="2"/>
      <c r="F78" s="2"/>
      <c r="G78" s="2"/>
      <c r="H78" s="2"/>
      <c r="I78" s="2"/>
      <c r="J78" s="2"/>
      <c r="K78" s="9">
        <v>26</v>
      </c>
      <c r="L78" s="9" t="str">
        <f t="shared" si="2"/>
        <v>1845 SVEUČILIŠTE U ZAGREBU - PREHRAMBENO BIOTEHNOLOŠKI FAKULTET</v>
      </c>
      <c r="M78" s="10">
        <v>1845</v>
      </c>
      <c r="N78" s="11" t="s">
        <v>266</v>
      </c>
      <c r="O78" s="11" t="s">
        <v>147</v>
      </c>
      <c r="P78" s="11" t="s">
        <v>267</v>
      </c>
      <c r="Q78" s="11" t="s">
        <v>191</v>
      </c>
      <c r="R78" s="12">
        <v>3207102</v>
      </c>
      <c r="S78" s="13" t="s">
        <v>268</v>
      </c>
      <c r="T78" s="13" t="s">
        <v>23</v>
      </c>
      <c r="U78" s="14" t="s">
        <v>24</v>
      </c>
      <c r="V78" s="2"/>
      <c r="W78" s="2"/>
      <c r="X78" s="2"/>
      <c r="Y78" s="2"/>
      <c r="Z78" s="2"/>
      <c r="AA78" s="2"/>
      <c r="AB78" s="2"/>
    </row>
    <row r="79" spans="1:28" hidden="1">
      <c r="A79" s="2"/>
      <c r="B79" s="2"/>
      <c r="C79" s="2"/>
      <c r="D79" s="2"/>
      <c r="E79" s="2"/>
      <c r="F79" s="2"/>
      <c r="G79" s="2"/>
      <c r="H79" s="2"/>
      <c r="I79" s="2"/>
      <c r="J79" s="2"/>
      <c r="K79" s="9">
        <v>27</v>
      </c>
      <c r="L79" s="9" t="str">
        <f t="shared" si="2"/>
        <v>1781 SVEUČILIŠTE U ZAGREBU - PRIRODOSLOVNO-MATEMATIČKI FAKULTET</v>
      </c>
      <c r="M79" s="10">
        <v>1781</v>
      </c>
      <c r="N79" s="11" t="s">
        <v>269</v>
      </c>
      <c r="O79" s="11" t="s">
        <v>147</v>
      </c>
      <c r="P79" s="11" t="s">
        <v>270</v>
      </c>
      <c r="Q79" s="11" t="s">
        <v>191</v>
      </c>
      <c r="R79" s="12">
        <v>3270149</v>
      </c>
      <c r="S79" s="13" t="s">
        <v>271</v>
      </c>
      <c r="T79" s="13" t="s">
        <v>23</v>
      </c>
      <c r="U79" s="14" t="s">
        <v>24</v>
      </c>
      <c r="V79" s="2"/>
      <c r="W79" s="2"/>
      <c r="X79" s="2"/>
      <c r="Y79" s="2"/>
      <c r="Z79" s="2"/>
      <c r="AA79" s="2"/>
      <c r="AB79" s="2"/>
    </row>
    <row r="80" spans="1:28" hidden="1">
      <c r="A80" s="2"/>
      <c r="B80" s="2"/>
      <c r="C80" s="2"/>
      <c r="D80" s="2"/>
      <c r="E80" s="2"/>
      <c r="F80" s="2"/>
      <c r="G80" s="2"/>
      <c r="H80" s="2"/>
      <c r="I80" s="2"/>
      <c r="J80" s="2"/>
      <c r="K80" s="9">
        <v>28</v>
      </c>
      <c r="L80" s="9" t="str">
        <f t="shared" si="2"/>
        <v>2047 SVEUČILIŠTE U ZAGREBU - RUDARSKO-GEOLOŠKO-NAFTNI FAKULTET</v>
      </c>
      <c r="M80" s="10">
        <v>2047</v>
      </c>
      <c r="N80" s="11" t="s">
        <v>272</v>
      </c>
      <c r="O80" s="11" t="s">
        <v>147</v>
      </c>
      <c r="P80" s="11" t="s">
        <v>273</v>
      </c>
      <c r="Q80" s="11" t="s">
        <v>191</v>
      </c>
      <c r="R80" s="12">
        <v>3207005</v>
      </c>
      <c r="S80" s="13" t="s">
        <v>274</v>
      </c>
      <c r="T80" s="13" t="s">
        <v>23</v>
      </c>
      <c r="U80" s="14" t="s">
        <v>24</v>
      </c>
      <c r="V80" s="2"/>
      <c r="W80" s="2"/>
      <c r="X80" s="2"/>
      <c r="Y80" s="2"/>
      <c r="Z80" s="2"/>
      <c r="AA80" s="2"/>
      <c r="AB80" s="2"/>
    </row>
    <row r="81" spans="1:28" hidden="1">
      <c r="A81" s="2"/>
      <c r="B81" s="2"/>
      <c r="C81" s="2"/>
      <c r="D81" s="2"/>
      <c r="E81" s="2"/>
      <c r="F81" s="2"/>
      <c r="G81" s="2"/>
      <c r="H81" s="2"/>
      <c r="I81" s="2"/>
      <c r="J81" s="2"/>
      <c r="K81" s="9">
        <v>29</v>
      </c>
      <c r="L81" s="9" t="str">
        <f t="shared" si="2"/>
        <v>1870 SVEUČILIŠTE U ZAGREBU - STOMATOLOŠKI FAKULTET</v>
      </c>
      <c r="M81" s="10">
        <v>1870</v>
      </c>
      <c r="N81" s="11" t="s">
        <v>275</v>
      </c>
      <c r="O81" s="11" t="s">
        <v>147</v>
      </c>
      <c r="P81" s="11" t="s">
        <v>276</v>
      </c>
      <c r="Q81" s="11" t="s">
        <v>191</v>
      </c>
      <c r="R81" s="12">
        <v>3204995</v>
      </c>
      <c r="S81" s="13" t="s">
        <v>277</v>
      </c>
      <c r="T81" s="13" t="s">
        <v>23</v>
      </c>
      <c r="U81" s="14" t="s">
        <v>24</v>
      </c>
      <c r="V81" s="2"/>
      <c r="W81" s="2"/>
      <c r="X81" s="2"/>
      <c r="Y81" s="2"/>
      <c r="Z81" s="2"/>
      <c r="AA81" s="2"/>
      <c r="AB81" s="2"/>
    </row>
    <row r="82" spans="1:28" hidden="1">
      <c r="A82" s="2"/>
      <c r="B82" s="2"/>
      <c r="C82" s="2"/>
      <c r="D82" s="2"/>
      <c r="E82" s="2"/>
      <c r="F82" s="2"/>
      <c r="G82" s="2"/>
      <c r="H82" s="2"/>
      <c r="I82" s="2"/>
      <c r="J82" s="2"/>
      <c r="K82" s="9">
        <v>30</v>
      </c>
      <c r="L82" s="9" t="str">
        <f t="shared" si="2"/>
        <v>1896 SVEUČILIŠTE U ZAGREBU - ŠUMARSKI FAKULTET</v>
      </c>
      <c r="M82" s="10">
        <v>1896</v>
      </c>
      <c r="N82" s="11" t="s">
        <v>278</v>
      </c>
      <c r="O82" s="11" t="s">
        <v>147</v>
      </c>
      <c r="P82" s="11" t="s">
        <v>279</v>
      </c>
      <c r="Q82" s="11" t="s">
        <v>191</v>
      </c>
      <c r="R82" s="12">
        <v>3281485</v>
      </c>
      <c r="S82" s="13" t="s">
        <v>280</v>
      </c>
      <c r="T82" s="13" t="s">
        <v>23</v>
      </c>
      <c r="U82" s="14" t="s">
        <v>24</v>
      </c>
      <c r="V82" s="2"/>
      <c r="W82" s="2"/>
      <c r="X82" s="2"/>
      <c r="Y82" s="2"/>
      <c r="Z82" s="2"/>
      <c r="AA82" s="2"/>
      <c r="AB82" s="2"/>
    </row>
    <row r="83" spans="1:28" hidden="1">
      <c r="A83" s="2"/>
      <c r="B83" s="2"/>
      <c r="C83" s="2"/>
      <c r="D83" s="2"/>
      <c r="E83" s="2"/>
      <c r="F83" s="2"/>
      <c r="G83" s="2"/>
      <c r="H83" s="2"/>
      <c r="I83" s="2"/>
      <c r="J83" s="2"/>
      <c r="K83" s="9">
        <v>31</v>
      </c>
      <c r="L83" s="9" t="str">
        <f t="shared" si="2"/>
        <v>1804 SVEUČILIŠTE U ZAGREBU - TEKSTILNO TEHNOLOŠKI FAKULTET</v>
      </c>
      <c r="M83" s="10">
        <v>1804</v>
      </c>
      <c r="N83" s="11" t="s">
        <v>281</v>
      </c>
      <c r="O83" s="11" t="s">
        <v>147</v>
      </c>
      <c r="P83" s="11" t="s">
        <v>282</v>
      </c>
      <c r="Q83" s="11" t="s">
        <v>191</v>
      </c>
      <c r="R83" s="12">
        <v>3207064</v>
      </c>
      <c r="S83" s="13" t="s">
        <v>283</v>
      </c>
      <c r="T83" s="13" t="s">
        <v>23</v>
      </c>
      <c r="U83" s="14" t="s">
        <v>24</v>
      </c>
      <c r="V83" s="2"/>
      <c r="W83" s="2"/>
      <c r="X83" s="2"/>
      <c r="Y83" s="2"/>
      <c r="Z83" s="2"/>
      <c r="AA83" s="2"/>
      <c r="AB83" s="2"/>
    </row>
    <row r="84" spans="1:28" hidden="1">
      <c r="A84" s="2"/>
      <c r="B84" s="2"/>
      <c r="C84" s="2"/>
      <c r="D84" s="2"/>
      <c r="E84" s="2"/>
      <c r="F84" s="2"/>
      <c r="G84" s="2"/>
      <c r="H84" s="2"/>
      <c r="I84" s="2"/>
      <c r="J84" s="2"/>
      <c r="K84" s="9">
        <v>32</v>
      </c>
      <c r="L84" s="9" t="str">
        <f t="shared" si="2"/>
        <v>1940 SVEUČILIŠTE U ZAGREBU - UČITELJSKI FAKULTET</v>
      </c>
      <c r="M84" s="10">
        <v>1940</v>
      </c>
      <c r="N84" s="11" t="s">
        <v>284</v>
      </c>
      <c r="O84" s="11" t="s">
        <v>147</v>
      </c>
      <c r="P84" s="11" t="s">
        <v>285</v>
      </c>
      <c r="Q84" s="11" t="s">
        <v>191</v>
      </c>
      <c r="R84" s="12">
        <v>1422545</v>
      </c>
      <c r="S84" s="13" t="s">
        <v>286</v>
      </c>
      <c r="T84" s="13" t="s">
        <v>23</v>
      </c>
      <c r="U84" s="14" t="s">
        <v>24</v>
      </c>
      <c r="V84" s="2"/>
      <c r="W84" s="2"/>
      <c r="X84" s="2"/>
      <c r="Y84" s="2"/>
      <c r="Z84" s="2"/>
      <c r="AA84" s="2"/>
      <c r="AB84" s="2"/>
    </row>
    <row r="85" spans="1:28" hidden="1">
      <c r="A85" s="2"/>
      <c r="B85" s="2"/>
      <c r="C85" s="2"/>
      <c r="D85" s="2"/>
      <c r="E85" s="2"/>
      <c r="F85" s="2"/>
      <c r="G85" s="2"/>
      <c r="H85" s="2"/>
      <c r="I85" s="2"/>
      <c r="J85" s="2"/>
      <c r="K85" s="9">
        <v>33</v>
      </c>
      <c r="L85" s="9" t="str">
        <f t="shared" si="2"/>
        <v>2022 SVEUČILIŠTE U ZAGREBU - VETERINARSKI FAKULTET</v>
      </c>
      <c r="M85" s="10">
        <v>2022</v>
      </c>
      <c r="N85" s="11" t="s">
        <v>287</v>
      </c>
      <c r="O85" s="11" t="s">
        <v>147</v>
      </c>
      <c r="P85" s="11" t="s">
        <v>288</v>
      </c>
      <c r="Q85" s="11" t="s">
        <v>191</v>
      </c>
      <c r="R85" s="12">
        <v>3225755</v>
      </c>
      <c r="S85" s="13" t="s">
        <v>289</v>
      </c>
      <c r="T85" s="13" t="s">
        <v>23</v>
      </c>
      <c r="U85" s="14" t="s">
        <v>24</v>
      </c>
      <c r="V85" s="2"/>
      <c r="W85" s="2"/>
      <c r="X85" s="2"/>
      <c r="Y85" s="2"/>
      <c r="Z85" s="2"/>
      <c r="AA85" s="2"/>
      <c r="AB85" s="2"/>
    </row>
    <row r="86" spans="1:28" hidden="1">
      <c r="A86" s="2"/>
      <c r="B86" s="2"/>
      <c r="C86" s="2"/>
      <c r="D86" s="2"/>
      <c r="E86" s="2"/>
      <c r="F86" s="2"/>
      <c r="G86" s="2"/>
      <c r="H86" s="2"/>
      <c r="I86" s="2"/>
      <c r="J86" s="2"/>
      <c r="K86" s="9">
        <v>34</v>
      </c>
      <c r="L86" s="9" t="str">
        <f t="shared" si="2"/>
        <v>2063 FAKULTET ORGANIZACIJE I INFORMATIKE U VARAŽDINU</v>
      </c>
      <c r="M86" s="10">
        <v>2063</v>
      </c>
      <c r="N86" s="11" t="s">
        <v>290</v>
      </c>
      <c r="O86" s="11" t="s">
        <v>147</v>
      </c>
      <c r="P86" s="11" t="s">
        <v>291</v>
      </c>
      <c r="Q86" s="11" t="s">
        <v>242</v>
      </c>
      <c r="R86" s="12">
        <v>3006107</v>
      </c>
      <c r="S86" s="13" t="s">
        <v>292</v>
      </c>
      <c r="T86" s="13" t="s">
        <v>23</v>
      </c>
      <c r="U86" s="14" t="s">
        <v>24</v>
      </c>
      <c r="V86" s="2"/>
      <c r="W86" s="2"/>
      <c r="X86" s="2"/>
      <c r="Y86" s="2"/>
      <c r="Z86" s="2"/>
      <c r="AA86" s="2"/>
      <c r="AB86" s="2"/>
    </row>
    <row r="87" spans="1:28" hidden="1">
      <c r="A87" s="2"/>
      <c r="B87" s="2"/>
      <c r="C87" s="2"/>
      <c r="D87" s="2"/>
      <c r="E87" s="2"/>
      <c r="F87" s="2"/>
      <c r="G87" s="2"/>
      <c r="H87" s="2"/>
      <c r="I87" s="2"/>
      <c r="J87" s="2"/>
      <c r="K87" s="9">
        <v>1</v>
      </c>
      <c r="L87" s="9" t="str">
        <f t="shared" si="2"/>
        <v>43749 MEĐIMURSKO VELEUČILIŠTE U ČAKOVCU</v>
      </c>
      <c r="M87" s="10">
        <v>43749</v>
      </c>
      <c r="N87" s="11" t="s">
        <v>293</v>
      </c>
      <c r="O87" s="11" t="s">
        <v>294</v>
      </c>
      <c r="P87" s="11" t="s">
        <v>295</v>
      </c>
      <c r="Q87" s="11" t="s">
        <v>296</v>
      </c>
      <c r="R87" s="12">
        <v>2382512</v>
      </c>
      <c r="S87" s="13" t="s">
        <v>297</v>
      </c>
      <c r="T87" s="13" t="s">
        <v>23</v>
      </c>
      <c r="U87" s="14" t="s">
        <v>24</v>
      </c>
      <c r="V87" s="2"/>
      <c r="W87" s="2"/>
      <c r="X87" s="2"/>
      <c r="Y87" s="2"/>
      <c r="Z87" s="2"/>
      <c r="AA87" s="2"/>
      <c r="AB87" s="2"/>
    </row>
    <row r="88" spans="1:28" hidden="1">
      <c r="A88" s="2"/>
      <c r="B88" s="2"/>
      <c r="C88" s="2"/>
      <c r="D88" s="2"/>
      <c r="E88" s="2"/>
      <c r="F88" s="2"/>
      <c r="G88" s="2"/>
      <c r="H88" s="2"/>
      <c r="I88" s="2"/>
      <c r="J88" s="2"/>
      <c r="K88" s="9">
        <v>2</v>
      </c>
      <c r="L88" s="9" t="str">
        <f t="shared" si="2"/>
        <v>22427 TEHNIČKO VELEUČILIŠTE U ZAGREBU</v>
      </c>
      <c r="M88" s="10">
        <v>22427</v>
      </c>
      <c r="N88" s="11" t="s">
        <v>298</v>
      </c>
      <c r="O88" s="11" t="s">
        <v>294</v>
      </c>
      <c r="P88" s="11" t="s">
        <v>299</v>
      </c>
      <c r="Q88" s="11" t="s">
        <v>191</v>
      </c>
      <c r="R88" s="12">
        <v>1398270</v>
      </c>
      <c r="S88" s="13" t="s">
        <v>300</v>
      </c>
      <c r="T88" s="13" t="s">
        <v>23</v>
      </c>
      <c r="U88" s="14" t="s">
        <v>24</v>
      </c>
      <c r="V88" s="2"/>
      <c r="W88" s="2"/>
      <c r="X88" s="2"/>
      <c r="Y88" s="2"/>
      <c r="Z88" s="2"/>
      <c r="AA88" s="2"/>
      <c r="AB88" s="2"/>
    </row>
    <row r="89" spans="1:28" hidden="1">
      <c r="A89" s="2"/>
      <c r="B89" s="2"/>
      <c r="C89" s="2"/>
      <c r="D89" s="2"/>
      <c r="E89" s="2"/>
      <c r="F89" s="2"/>
      <c r="G89" s="2"/>
      <c r="H89" s="2"/>
      <c r="I89" s="2"/>
      <c r="J89" s="2"/>
      <c r="K89" s="9">
        <v>3</v>
      </c>
      <c r="L89" s="9" t="str">
        <f t="shared" si="2"/>
        <v>38446 VELEUČILIŠTE LAVOSLAV RUŽIČKA U VUKOVARU</v>
      </c>
      <c r="M89" s="10">
        <v>38446</v>
      </c>
      <c r="N89" s="11" t="s">
        <v>301</v>
      </c>
      <c r="O89" s="11" t="s">
        <v>294</v>
      </c>
      <c r="P89" s="11" t="s">
        <v>302</v>
      </c>
      <c r="Q89" s="11" t="s">
        <v>303</v>
      </c>
      <c r="R89" s="12">
        <v>1970828</v>
      </c>
      <c r="S89" s="13" t="s">
        <v>304</v>
      </c>
      <c r="T89" s="13" t="s">
        <v>23</v>
      </c>
      <c r="U89" s="14" t="s">
        <v>24</v>
      </c>
      <c r="V89" s="2"/>
      <c r="W89" s="2"/>
      <c r="X89" s="2"/>
      <c r="Y89" s="2"/>
      <c r="Z89" s="2"/>
      <c r="AA89" s="2"/>
      <c r="AB89" s="2"/>
    </row>
    <row r="90" spans="1:28" hidden="1">
      <c r="A90" s="2"/>
      <c r="B90" s="2"/>
      <c r="C90" s="2"/>
      <c r="D90" s="2"/>
      <c r="E90" s="2"/>
      <c r="F90" s="2"/>
      <c r="G90" s="2"/>
      <c r="H90" s="2"/>
      <c r="I90" s="2"/>
      <c r="J90" s="2"/>
      <c r="K90" s="9">
        <v>4</v>
      </c>
      <c r="L90" s="9" t="str">
        <f t="shared" si="2"/>
        <v>38438 VELEUČILIŠTE MARKO MARULIĆ U KNINU</v>
      </c>
      <c r="M90" s="10">
        <v>38438</v>
      </c>
      <c r="N90" s="11" t="s">
        <v>305</v>
      </c>
      <c r="O90" s="11" t="s">
        <v>294</v>
      </c>
      <c r="P90" s="43" t="s">
        <v>306</v>
      </c>
      <c r="Q90" s="43" t="s">
        <v>307</v>
      </c>
      <c r="R90" s="12">
        <v>1963813</v>
      </c>
      <c r="S90" s="13" t="s">
        <v>308</v>
      </c>
      <c r="T90" s="13" t="s">
        <v>23</v>
      </c>
      <c r="U90" s="14" t="s">
        <v>24</v>
      </c>
      <c r="V90" s="2"/>
      <c r="W90" s="2"/>
      <c r="X90" s="2"/>
      <c r="Y90" s="2"/>
      <c r="Z90" s="2"/>
      <c r="AA90" s="2"/>
      <c r="AB90" s="2"/>
    </row>
    <row r="91" spans="1:28" hidden="1">
      <c r="A91" s="2"/>
      <c r="B91" s="2"/>
      <c r="C91" s="2"/>
      <c r="D91" s="2"/>
      <c r="E91" s="2"/>
      <c r="F91" s="2"/>
      <c r="G91" s="2"/>
      <c r="H91" s="2"/>
      <c r="I91" s="2"/>
      <c r="J91" s="2"/>
      <c r="K91" s="9">
        <v>5</v>
      </c>
      <c r="L91" s="9" t="str">
        <f t="shared" si="2"/>
        <v>41185 VELEUČILIŠTE NIKOLA TESLA U GOSPIĆU</v>
      </c>
      <c r="M91" s="10">
        <v>41185</v>
      </c>
      <c r="N91" s="11" t="s">
        <v>309</v>
      </c>
      <c r="O91" s="11" t="s">
        <v>294</v>
      </c>
      <c r="P91" s="11" t="s">
        <v>310</v>
      </c>
      <c r="Q91" s="11" t="s">
        <v>311</v>
      </c>
      <c r="R91" s="12">
        <v>2103133</v>
      </c>
      <c r="S91" s="13" t="s">
        <v>312</v>
      </c>
      <c r="T91" s="13" t="s">
        <v>23</v>
      </c>
      <c r="U91" s="14" t="s">
        <v>24</v>
      </c>
      <c r="V91" s="2"/>
      <c r="W91" s="2"/>
      <c r="X91" s="2"/>
      <c r="Y91" s="2"/>
      <c r="Z91" s="2"/>
      <c r="AA91" s="2"/>
      <c r="AB91" s="2"/>
    </row>
    <row r="92" spans="1:28" hidden="1">
      <c r="A92" s="2"/>
      <c r="B92" s="2"/>
      <c r="C92" s="2"/>
      <c r="D92" s="2"/>
      <c r="E92" s="2"/>
      <c r="F92" s="2"/>
      <c r="G92" s="2"/>
      <c r="H92" s="2"/>
      <c r="I92" s="2"/>
      <c r="J92" s="2"/>
      <c r="K92" s="9">
        <v>6</v>
      </c>
      <c r="L92" s="9" t="str">
        <f t="shared" si="2"/>
        <v>21053 VELEUČILIŠTE U KARLOVCU</v>
      </c>
      <c r="M92" s="10">
        <v>21053</v>
      </c>
      <c r="N92" s="11" t="s">
        <v>313</v>
      </c>
      <c r="O92" s="11" t="s">
        <v>294</v>
      </c>
      <c r="P92" s="11" t="s">
        <v>314</v>
      </c>
      <c r="Q92" s="11" t="s">
        <v>315</v>
      </c>
      <c r="R92" s="12">
        <v>1286030</v>
      </c>
      <c r="S92" s="13" t="s">
        <v>316</v>
      </c>
      <c r="T92" s="13" t="s">
        <v>23</v>
      </c>
      <c r="U92" s="14" t="s">
        <v>24</v>
      </c>
      <c r="V92" s="2"/>
      <c r="W92" s="2"/>
      <c r="X92" s="2"/>
      <c r="Y92" s="2"/>
      <c r="Z92" s="2"/>
      <c r="AA92" s="2"/>
      <c r="AB92" s="2"/>
    </row>
    <row r="93" spans="1:28" hidden="1">
      <c r="A93" s="2"/>
      <c r="B93" s="2"/>
      <c r="C93" s="2"/>
      <c r="D93" s="2"/>
      <c r="E93" s="2"/>
      <c r="F93" s="2"/>
      <c r="G93" s="2"/>
      <c r="H93" s="2"/>
      <c r="I93" s="2"/>
      <c r="J93" s="2"/>
      <c r="K93" s="9">
        <v>7</v>
      </c>
      <c r="L93" s="9" t="str">
        <f t="shared" si="2"/>
        <v>22398 VELEUČILIŠTE U POŽEGI</v>
      </c>
      <c r="M93" s="10">
        <v>22398</v>
      </c>
      <c r="N93" s="11" t="s">
        <v>317</v>
      </c>
      <c r="O93" s="11" t="s">
        <v>294</v>
      </c>
      <c r="P93" s="11" t="s">
        <v>318</v>
      </c>
      <c r="Q93" s="11" t="s">
        <v>319</v>
      </c>
      <c r="R93" s="12">
        <v>1395521</v>
      </c>
      <c r="S93" s="13" t="s">
        <v>320</v>
      </c>
      <c r="T93" s="13" t="s">
        <v>23</v>
      </c>
      <c r="U93" s="14" t="s">
        <v>24</v>
      </c>
      <c r="V93" s="2"/>
      <c r="W93" s="2"/>
      <c r="X93" s="2"/>
      <c r="Y93" s="2"/>
      <c r="Z93" s="2"/>
      <c r="AA93" s="2"/>
      <c r="AB93" s="2"/>
    </row>
    <row r="94" spans="1:28" hidden="1">
      <c r="A94" s="2"/>
      <c r="B94" s="2"/>
      <c r="C94" s="2"/>
      <c r="D94" s="2"/>
      <c r="E94" s="2"/>
      <c r="F94" s="2"/>
      <c r="G94" s="2"/>
      <c r="H94" s="2"/>
      <c r="I94" s="2"/>
      <c r="J94" s="2"/>
      <c r="K94" s="9">
        <v>8</v>
      </c>
      <c r="L94" s="9" t="str">
        <f t="shared" si="2"/>
        <v>22494 VELEUČILIŠTE U RIJECI</v>
      </c>
      <c r="M94" s="10">
        <v>22494</v>
      </c>
      <c r="N94" s="11" t="s">
        <v>321</v>
      </c>
      <c r="O94" s="11" t="s">
        <v>294</v>
      </c>
      <c r="P94" s="11" t="s">
        <v>322</v>
      </c>
      <c r="Q94" s="11" t="s">
        <v>103</v>
      </c>
      <c r="R94" s="12">
        <v>1387332</v>
      </c>
      <c r="S94" s="13" t="s">
        <v>323</v>
      </c>
      <c r="T94" s="13" t="s">
        <v>23</v>
      </c>
      <c r="U94" s="14" t="s">
        <v>24</v>
      </c>
      <c r="V94" s="2"/>
      <c r="W94" s="2"/>
      <c r="X94" s="2"/>
      <c r="Y94" s="2"/>
      <c r="Z94" s="2"/>
      <c r="AA94" s="2"/>
      <c r="AB94" s="2"/>
    </row>
    <row r="95" spans="1:28" hidden="1">
      <c r="A95" s="2"/>
      <c r="B95" s="2"/>
      <c r="C95" s="2"/>
      <c r="D95" s="2"/>
      <c r="E95" s="2"/>
      <c r="F95" s="2"/>
      <c r="G95" s="2"/>
      <c r="H95" s="2"/>
      <c r="I95" s="2"/>
      <c r="J95" s="2"/>
      <c r="K95" s="9">
        <v>9</v>
      </c>
      <c r="L95" s="9" t="str">
        <f t="shared" si="2"/>
        <v>41337 VELEUČILIŠTE U SLAVONSKOM BRODU</v>
      </c>
      <c r="M95" s="10">
        <v>41337</v>
      </c>
      <c r="N95" s="11" t="s">
        <v>324</v>
      </c>
      <c r="O95" s="11" t="s">
        <v>294</v>
      </c>
      <c r="P95" s="11" t="s">
        <v>325</v>
      </c>
      <c r="Q95" s="11" t="s">
        <v>64</v>
      </c>
      <c r="R95" s="12">
        <v>2152622</v>
      </c>
      <c r="S95" s="13" t="s">
        <v>326</v>
      </c>
      <c r="T95" s="13" t="s">
        <v>23</v>
      </c>
      <c r="U95" s="14" t="s">
        <v>24</v>
      </c>
      <c r="V95" s="2"/>
      <c r="W95" s="2"/>
      <c r="X95" s="2"/>
      <c r="Y95" s="2"/>
      <c r="Z95" s="2"/>
      <c r="AA95" s="2"/>
      <c r="AB95" s="2"/>
    </row>
    <row r="96" spans="1:28" hidden="1">
      <c r="A96" s="2"/>
      <c r="B96" s="2"/>
      <c r="C96" s="2"/>
      <c r="D96" s="2"/>
      <c r="E96" s="2"/>
      <c r="F96" s="2"/>
      <c r="G96" s="2"/>
      <c r="H96" s="2"/>
      <c r="I96" s="2"/>
      <c r="J96" s="2"/>
      <c r="K96" s="9">
        <v>10</v>
      </c>
      <c r="L96" s="9" t="str">
        <f t="shared" si="2"/>
        <v>22824 VELEUČILIŠTE U ŠIBENIKU</v>
      </c>
      <c r="M96" s="10">
        <v>22824</v>
      </c>
      <c r="N96" s="11" t="s">
        <v>327</v>
      </c>
      <c r="O96" s="11" t="s">
        <v>294</v>
      </c>
      <c r="P96" s="11" t="s">
        <v>328</v>
      </c>
      <c r="Q96" s="11" t="s">
        <v>329</v>
      </c>
      <c r="R96" s="12">
        <v>2100673</v>
      </c>
      <c r="S96" s="13" t="s">
        <v>330</v>
      </c>
      <c r="T96" s="13" t="s">
        <v>23</v>
      </c>
      <c r="U96" s="14" t="s">
        <v>24</v>
      </c>
      <c r="V96" s="2"/>
      <c r="W96" s="2"/>
      <c r="X96" s="2"/>
      <c r="Y96" s="2"/>
      <c r="Z96" s="2"/>
      <c r="AA96" s="2"/>
      <c r="AB96" s="2"/>
    </row>
    <row r="97" spans="1:28" hidden="1">
      <c r="A97" s="2"/>
      <c r="B97" s="2"/>
      <c r="C97" s="2"/>
      <c r="D97" s="2"/>
      <c r="E97" s="2"/>
      <c r="F97" s="2"/>
      <c r="G97" s="2"/>
      <c r="H97" s="2"/>
      <c r="I97" s="2"/>
      <c r="J97" s="2"/>
      <c r="K97" s="1" t="s">
        <v>331</v>
      </c>
      <c r="L97" s="9" t="str">
        <f t="shared" si="2"/>
        <v xml:space="preserve"> VELEUČILIŠTE HRVATSKO ZAGORJE</v>
      </c>
      <c r="N97" s="1" t="s">
        <v>332</v>
      </c>
      <c r="O97" s="11" t="s">
        <v>294</v>
      </c>
      <c r="T97" s="13" t="s">
        <v>23</v>
      </c>
      <c r="U97" s="14" t="s">
        <v>24</v>
      </c>
      <c r="V97" s="2"/>
      <c r="W97" s="2"/>
      <c r="X97" s="2"/>
      <c r="Y97" s="2"/>
      <c r="Z97" s="2"/>
      <c r="AA97" s="2"/>
      <c r="AB97" s="2"/>
    </row>
    <row r="98" spans="1:28" hidden="1">
      <c r="A98" s="2"/>
      <c r="B98" s="2"/>
      <c r="C98" s="2"/>
      <c r="D98" s="2"/>
      <c r="E98" s="2"/>
      <c r="F98" s="2"/>
      <c r="G98" s="2"/>
      <c r="H98" s="2"/>
      <c r="I98" s="2"/>
      <c r="J98" s="2"/>
      <c r="K98" s="9">
        <v>11</v>
      </c>
      <c r="L98" s="9" t="str">
        <f t="shared" si="2"/>
        <v>42993 VISOKA ŠKOLA ZA MENEDŽMENT U TURIZMU I INFORMATICI</v>
      </c>
      <c r="M98" s="10">
        <v>42993</v>
      </c>
      <c r="N98" s="11" t="s">
        <v>333</v>
      </c>
      <c r="O98" s="11" t="s">
        <v>294</v>
      </c>
      <c r="P98" s="11" t="s">
        <v>334</v>
      </c>
      <c r="Q98" s="11" t="s">
        <v>335</v>
      </c>
      <c r="R98" s="12">
        <v>2282208</v>
      </c>
      <c r="S98" s="13" t="s">
        <v>336</v>
      </c>
      <c r="T98" s="13" t="s">
        <v>23</v>
      </c>
      <c r="U98" s="14" t="s">
        <v>24</v>
      </c>
      <c r="V98" s="2"/>
      <c r="W98" s="2"/>
      <c r="X98" s="2"/>
      <c r="Y98" s="2"/>
      <c r="Z98" s="2"/>
      <c r="AA98" s="2"/>
      <c r="AB98" s="2"/>
    </row>
    <row r="99" spans="1:28" hidden="1">
      <c r="A99" s="2"/>
      <c r="B99" s="2"/>
      <c r="C99" s="2"/>
      <c r="D99" s="2"/>
      <c r="E99" s="2"/>
      <c r="F99" s="2"/>
      <c r="G99" s="2"/>
      <c r="H99" s="2"/>
      <c r="I99" s="2"/>
      <c r="J99" s="2"/>
      <c r="K99" s="9">
        <v>12</v>
      </c>
      <c r="L99" s="9" t="str">
        <f t="shared" si="2"/>
        <v>22371 VISOKO GOSPODARSKO UČILIŠTE U KRIŽEVCIMA</v>
      </c>
      <c r="M99" s="10">
        <v>22371</v>
      </c>
      <c r="N99" s="11" t="s">
        <v>337</v>
      </c>
      <c r="O99" s="11" t="s">
        <v>294</v>
      </c>
      <c r="P99" s="11" t="s">
        <v>338</v>
      </c>
      <c r="Q99" s="11" t="s">
        <v>339</v>
      </c>
      <c r="R99" s="12">
        <v>1411942</v>
      </c>
      <c r="S99" s="13" t="s">
        <v>340</v>
      </c>
      <c r="T99" s="13" t="s">
        <v>23</v>
      </c>
      <c r="U99" s="14" t="s">
        <v>24</v>
      </c>
      <c r="V99" s="2"/>
      <c r="W99" s="2"/>
      <c r="X99" s="2"/>
      <c r="Y99" s="2"/>
      <c r="Z99" s="2"/>
      <c r="AA99" s="2"/>
      <c r="AB99" s="2"/>
    </row>
    <row r="100" spans="1:28" hidden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9">
        <v>13</v>
      </c>
      <c r="L100" s="9" t="str">
        <f t="shared" si="2"/>
        <v>22832 ZDRAVSTVENO VELEUČILIŠTE</v>
      </c>
      <c r="M100" s="10">
        <v>22832</v>
      </c>
      <c r="N100" s="11" t="s">
        <v>341</v>
      </c>
      <c r="O100" s="11" t="s">
        <v>294</v>
      </c>
      <c r="P100" s="11" t="s">
        <v>342</v>
      </c>
      <c r="Q100" s="11" t="s">
        <v>191</v>
      </c>
      <c r="R100" s="12">
        <v>1274597</v>
      </c>
      <c r="S100" s="13" t="s">
        <v>343</v>
      </c>
      <c r="T100" s="13" t="s">
        <v>23</v>
      </c>
      <c r="U100" s="14" t="s">
        <v>24</v>
      </c>
      <c r="V100" s="2"/>
      <c r="W100" s="2"/>
      <c r="X100" s="2"/>
      <c r="Y100" s="2"/>
      <c r="Z100" s="2"/>
      <c r="AA100" s="2"/>
      <c r="AB100" s="2"/>
    </row>
    <row r="101" spans="1:28" hidden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9">
        <v>1</v>
      </c>
      <c r="L101" s="9" t="str">
        <f t="shared" si="2"/>
        <v>2918 EKONOMSKI INSTITUT ZAGREB</v>
      </c>
      <c r="M101" s="10">
        <v>2918</v>
      </c>
      <c r="N101" s="11" t="s">
        <v>344</v>
      </c>
      <c r="O101" s="11" t="s">
        <v>294</v>
      </c>
      <c r="P101" s="11" t="s">
        <v>345</v>
      </c>
      <c r="Q101" s="11" t="s">
        <v>191</v>
      </c>
      <c r="R101" s="12">
        <v>3219925</v>
      </c>
      <c r="S101" s="13" t="s">
        <v>346</v>
      </c>
      <c r="T101" s="13" t="s">
        <v>347</v>
      </c>
      <c r="U101" s="14" t="s">
        <v>348</v>
      </c>
      <c r="V101" s="2"/>
      <c r="W101" s="2"/>
      <c r="X101" s="2"/>
      <c r="Y101" s="2"/>
      <c r="Z101" s="2"/>
      <c r="AA101" s="2"/>
      <c r="AB101" s="2"/>
    </row>
    <row r="102" spans="1:28" hidden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9">
        <v>2</v>
      </c>
      <c r="L102" s="9" t="str">
        <f t="shared" si="2"/>
        <v>2934 HRVATSKI INSTITUT ZA POVIJEST</v>
      </c>
      <c r="M102" s="10">
        <v>2934</v>
      </c>
      <c r="N102" s="11" t="s">
        <v>349</v>
      </c>
      <c r="O102" s="11" t="s">
        <v>294</v>
      </c>
      <c r="P102" s="11" t="s">
        <v>350</v>
      </c>
      <c r="Q102" s="11" t="s">
        <v>191</v>
      </c>
      <c r="R102" s="12">
        <v>3207153</v>
      </c>
      <c r="S102" s="13" t="s">
        <v>351</v>
      </c>
      <c r="T102" s="13" t="s">
        <v>347</v>
      </c>
      <c r="U102" s="14" t="s">
        <v>348</v>
      </c>
      <c r="V102" s="2"/>
      <c r="W102" s="2"/>
      <c r="X102" s="2"/>
      <c r="Y102" s="2"/>
      <c r="Z102" s="2"/>
      <c r="AA102" s="2"/>
      <c r="AB102" s="2"/>
    </row>
    <row r="103" spans="1:28" hidden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9">
        <v>3</v>
      </c>
      <c r="L103" s="9" t="str">
        <f t="shared" ref="L103:L134" si="3">M103&amp;" "&amp;N103</f>
        <v>2983 HRVATSKI VETERINARSKI INSTITUT</v>
      </c>
      <c r="M103" s="10">
        <v>2983</v>
      </c>
      <c r="N103" s="11" t="s">
        <v>352</v>
      </c>
      <c r="O103" s="11" t="s">
        <v>294</v>
      </c>
      <c r="P103" s="11" t="s">
        <v>353</v>
      </c>
      <c r="Q103" s="11" t="s">
        <v>191</v>
      </c>
      <c r="R103" s="12">
        <v>3274098</v>
      </c>
      <c r="S103" s="13" t="s">
        <v>354</v>
      </c>
      <c r="T103" s="13" t="s">
        <v>347</v>
      </c>
      <c r="U103" s="14" t="s">
        <v>348</v>
      </c>
      <c r="V103" s="2"/>
      <c r="W103" s="2"/>
      <c r="X103" s="2"/>
      <c r="Y103" s="2"/>
      <c r="Z103" s="2"/>
      <c r="AA103" s="2"/>
      <c r="AB103" s="2"/>
    </row>
    <row r="104" spans="1:28" hidden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9">
        <v>4</v>
      </c>
      <c r="L104" s="9" t="str">
        <f t="shared" si="3"/>
        <v>3105 INSTITUT DRUŠTVENIH ZNANOSTI IVO PILAR</v>
      </c>
      <c r="M104" s="10">
        <v>3105</v>
      </c>
      <c r="N104" s="11" t="s">
        <v>355</v>
      </c>
      <c r="O104" s="11" t="s">
        <v>294</v>
      </c>
      <c r="P104" s="11" t="s">
        <v>356</v>
      </c>
      <c r="Q104" s="11" t="s">
        <v>191</v>
      </c>
      <c r="R104" s="12">
        <v>3793028</v>
      </c>
      <c r="S104" s="13" t="s">
        <v>357</v>
      </c>
      <c r="T104" s="13" t="s">
        <v>347</v>
      </c>
      <c r="U104" s="14" t="s">
        <v>348</v>
      </c>
      <c r="V104" s="2"/>
      <c r="W104" s="2"/>
      <c r="X104" s="2"/>
      <c r="Y104" s="2"/>
      <c r="Z104" s="2"/>
      <c r="AA104" s="2"/>
      <c r="AB104" s="2"/>
    </row>
    <row r="105" spans="1:28" hidden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9">
        <v>5</v>
      </c>
      <c r="L105" s="9" t="str">
        <f t="shared" si="3"/>
        <v>3041 INSTITUT RUĐER BOŠKOVIĆ</v>
      </c>
      <c r="M105" s="10">
        <v>3041</v>
      </c>
      <c r="N105" s="11" t="s">
        <v>358</v>
      </c>
      <c r="O105" s="11" t="s">
        <v>294</v>
      </c>
      <c r="P105" s="11" t="s">
        <v>359</v>
      </c>
      <c r="Q105" s="11" t="s">
        <v>191</v>
      </c>
      <c r="R105" s="12">
        <v>3270289</v>
      </c>
      <c r="S105" s="13" t="s">
        <v>360</v>
      </c>
      <c r="T105" s="13" t="s">
        <v>347</v>
      </c>
      <c r="U105" s="14" t="s">
        <v>348</v>
      </c>
      <c r="V105" s="2"/>
      <c r="W105" s="2"/>
      <c r="X105" s="2"/>
      <c r="Y105" s="2"/>
      <c r="Z105" s="2"/>
      <c r="AA105" s="2"/>
      <c r="AB105" s="2"/>
    </row>
    <row r="106" spans="1:28" hidden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9">
        <v>6</v>
      </c>
      <c r="L106" s="9" t="str">
        <f t="shared" si="3"/>
        <v>3113 INSTITUT ZA ANTROPOLOGIJU</v>
      </c>
      <c r="M106" s="10">
        <v>3113</v>
      </c>
      <c r="N106" s="11" t="s">
        <v>361</v>
      </c>
      <c r="O106" s="11" t="s">
        <v>294</v>
      </c>
      <c r="P106" s="11" t="s">
        <v>362</v>
      </c>
      <c r="Q106" s="11" t="s">
        <v>191</v>
      </c>
      <c r="R106" s="12">
        <v>3817121</v>
      </c>
      <c r="S106" s="13" t="s">
        <v>363</v>
      </c>
      <c r="T106" s="13" t="s">
        <v>347</v>
      </c>
      <c r="U106" s="14" t="s">
        <v>348</v>
      </c>
      <c r="V106" s="2"/>
      <c r="W106" s="2"/>
      <c r="X106" s="2"/>
      <c r="Y106" s="2"/>
      <c r="Z106" s="2"/>
      <c r="AA106" s="2"/>
      <c r="AB106" s="2"/>
    </row>
    <row r="107" spans="1:28" hidden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9">
        <v>7</v>
      </c>
      <c r="L107" s="9" t="str">
        <f t="shared" si="3"/>
        <v>3121 INSTITUT ZA ARHEOLOGIJU</v>
      </c>
      <c r="M107" s="10">
        <v>3121</v>
      </c>
      <c r="N107" s="11" t="s">
        <v>364</v>
      </c>
      <c r="O107" s="11" t="s">
        <v>294</v>
      </c>
      <c r="P107" s="11" t="s">
        <v>362</v>
      </c>
      <c r="Q107" s="11" t="s">
        <v>191</v>
      </c>
      <c r="R107" s="12">
        <v>3937658</v>
      </c>
      <c r="S107" s="13" t="s">
        <v>365</v>
      </c>
      <c r="T107" s="13" t="s">
        <v>347</v>
      </c>
      <c r="U107" s="14" t="s">
        <v>348</v>
      </c>
      <c r="V107" s="2"/>
      <c r="W107" s="2"/>
      <c r="X107" s="2"/>
      <c r="Y107" s="2"/>
      <c r="Z107" s="2"/>
      <c r="AA107" s="2"/>
      <c r="AB107" s="2"/>
    </row>
    <row r="108" spans="1:28" hidden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9">
        <v>8</v>
      </c>
      <c r="L108" s="9" t="str">
        <f t="shared" si="3"/>
        <v>3050 INSTITUT ZA DRUŠTVENA ISTRAŽIVANJA</v>
      </c>
      <c r="M108" s="10">
        <v>3050</v>
      </c>
      <c r="N108" s="11" t="s">
        <v>366</v>
      </c>
      <c r="O108" s="11" t="s">
        <v>294</v>
      </c>
      <c r="P108" s="11" t="s">
        <v>367</v>
      </c>
      <c r="Q108" s="11" t="s">
        <v>191</v>
      </c>
      <c r="R108" s="12">
        <v>3205118</v>
      </c>
      <c r="S108" s="13" t="s">
        <v>368</v>
      </c>
      <c r="T108" s="13" t="s">
        <v>347</v>
      </c>
      <c r="U108" s="14" t="s">
        <v>348</v>
      </c>
      <c r="V108" s="2"/>
      <c r="W108" s="2"/>
      <c r="X108" s="2"/>
      <c r="Y108" s="2"/>
      <c r="Z108" s="2"/>
      <c r="AA108" s="2"/>
      <c r="AB108" s="2"/>
    </row>
    <row r="109" spans="1:28" hidden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9">
        <v>9</v>
      </c>
      <c r="L109" s="9" t="str">
        <f t="shared" si="3"/>
        <v>3084 INSTITUT ZA ETNOLOGIJU I FOLKLORISTIKU</v>
      </c>
      <c r="M109" s="10">
        <v>3084</v>
      </c>
      <c r="N109" s="11" t="s">
        <v>369</v>
      </c>
      <c r="O109" s="11" t="s">
        <v>294</v>
      </c>
      <c r="P109" s="11" t="s">
        <v>370</v>
      </c>
      <c r="Q109" s="11" t="s">
        <v>191</v>
      </c>
      <c r="R109" s="12">
        <v>3724042</v>
      </c>
      <c r="S109" s="13" t="s">
        <v>371</v>
      </c>
      <c r="T109" s="13" t="s">
        <v>347</v>
      </c>
      <c r="U109" s="14" t="s">
        <v>348</v>
      </c>
      <c r="V109" s="2"/>
      <c r="W109" s="2"/>
      <c r="X109" s="2"/>
      <c r="Y109" s="2"/>
      <c r="Z109" s="2"/>
      <c r="AA109" s="2"/>
      <c r="AB109" s="2"/>
    </row>
    <row r="110" spans="1:28" hidden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9">
        <v>10</v>
      </c>
      <c r="L110" s="9" t="str">
        <f t="shared" si="3"/>
        <v>3092 INSTITUT ZA FILOZOFIJU</v>
      </c>
      <c r="M110" s="10">
        <v>3092</v>
      </c>
      <c r="N110" s="11" t="s">
        <v>372</v>
      </c>
      <c r="O110" s="11" t="s">
        <v>294</v>
      </c>
      <c r="P110" s="11" t="s">
        <v>373</v>
      </c>
      <c r="Q110" s="11" t="s">
        <v>191</v>
      </c>
      <c r="R110" s="12">
        <v>3772047</v>
      </c>
      <c r="S110" s="13" t="s">
        <v>374</v>
      </c>
      <c r="T110" s="13" t="s">
        <v>347</v>
      </c>
      <c r="U110" s="14" t="s">
        <v>348</v>
      </c>
      <c r="V110" s="2"/>
      <c r="W110" s="2"/>
      <c r="X110" s="2"/>
      <c r="Y110" s="2"/>
      <c r="Z110" s="2"/>
      <c r="AA110" s="2"/>
      <c r="AB110" s="2"/>
    </row>
    <row r="111" spans="1:28" hidden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9">
        <v>11</v>
      </c>
      <c r="L111" s="9" t="str">
        <f t="shared" si="3"/>
        <v>2975 INSTITUT ZA FIZIKU</v>
      </c>
      <c r="M111" s="10">
        <v>2975</v>
      </c>
      <c r="N111" s="11" t="s">
        <v>375</v>
      </c>
      <c r="O111" s="11" t="s">
        <v>294</v>
      </c>
      <c r="P111" s="11" t="s">
        <v>359</v>
      </c>
      <c r="Q111" s="11" t="s">
        <v>191</v>
      </c>
      <c r="R111" s="12">
        <v>3270424</v>
      </c>
      <c r="S111" s="13" t="s">
        <v>376</v>
      </c>
      <c r="T111" s="13" t="s">
        <v>347</v>
      </c>
      <c r="U111" s="14" t="s">
        <v>348</v>
      </c>
      <c r="V111" s="2"/>
      <c r="W111" s="2"/>
      <c r="X111" s="2"/>
      <c r="Y111" s="2"/>
      <c r="Z111" s="2"/>
      <c r="AA111" s="2"/>
      <c r="AB111" s="2"/>
    </row>
    <row r="112" spans="1:28" hidden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9">
        <v>12</v>
      </c>
      <c r="L112" s="9" t="str">
        <f t="shared" si="3"/>
        <v xml:space="preserve">22525 HRVATSKI GEOLOŠKI INSTITUT </v>
      </c>
      <c r="M112" s="10">
        <v>22525</v>
      </c>
      <c r="N112" s="11" t="s">
        <v>377</v>
      </c>
      <c r="O112" s="11" t="s">
        <v>294</v>
      </c>
      <c r="P112" s="11" t="s">
        <v>378</v>
      </c>
      <c r="Q112" s="11" t="s">
        <v>191</v>
      </c>
      <c r="R112" s="12">
        <v>3219518</v>
      </c>
      <c r="S112" s="13" t="s">
        <v>379</v>
      </c>
      <c r="T112" s="13" t="s">
        <v>347</v>
      </c>
      <c r="U112" s="14" t="s">
        <v>348</v>
      </c>
      <c r="V112" s="2"/>
      <c r="W112" s="2"/>
      <c r="X112" s="2"/>
      <c r="Y112" s="2"/>
      <c r="Z112" s="2"/>
      <c r="AA112" s="2"/>
      <c r="AB112" s="2"/>
    </row>
    <row r="113" spans="1:28" hidden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9">
        <v>13</v>
      </c>
      <c r="L113" s="9" t="str">
        <f t="shared" si="3"/>
        <v>21061 INSTITUT ZA HRVATSKI JEZIK I JEZIKOSLOVLJE</v>
      </c>
      <c r="M113" s="10">
        <v>21061</v>
      </c>
      <c r="N113" s="11" t="s">
        <v>380</v>
      </c>
      <c r="O113" s="11" t="s">
        <v>294</v>
      </c>
      <c r="P113" s="11" t="s">
        <v>381</v>
      </c>
      <c r="Q113" s="11" t="s">
        <v>191</v>
      </c>
      <c r="R113" s="12">
        <v>1259571</v>
      </c>
      <c r="S113" s="13" t="s">
        <v>382</v>
      </c>
      <c r="T113" s="13" t="s">
        <v>347</v>
      </c>
      <c r="U113" s="14" t="s">
        <v>348</v>
      </c>
      <c r="V113" s="2"/>
      <c r="W113" s="2"/>
      <c r="X113" s="2"/>
      <c r="Y113" s="2"/>
      <c r="Z113" s="2"/>
      <c r="AA113" s="2"/>
      <c r="AB113" s="2"/>
    </row>
    <row r="114" spans="1:28" hidden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9">
        <v>14</v>
      </c>
      <c r="L114" s="9" t="str">
        <f t="shared" si="3"/>
        <v>3025 INSTITUT ZA JADRANSKE KULTURE I MELIORACIJU KRŠA</v>
      </c>
      <c r="M114" s="10">
        <v>3025</v>
      </c>
      <c r="N114" s="11" t="s">
        <v>383</v>
      </c>
      <c r="O114" s="11" t="s">
        <v>294</v>
      </c>
      <c r="P114" s="11" t="s">
        <v>384</v>
      </c>
      <c r="Q114" s="11" t="s">
        <v>149</v>
      </c>
      <c r="R114" s="12">
        <v>3140792</v>
      </c>
      <c r="S114" s="13" t="s">
        <v>385</v>
      </c>
      <c r="T114" s="13" t="s">
        <v>347</v>
      </c>
      <c r="U114" s="14" t="s">
        <v>348</v>
      </c>
      <c r="V114" s="2"/>
      <c r="W114" s="2"/>
      <c r="X114" s="2"/>
      <c r="Y114" s="2"/>
      <c r="Z114" s="2"/>
      <c r="AA114" s="2"/>
      <c r="AB114" s="2"/>
    </row>
    <row r="115" spans="1:28" hidden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9">
        <v>15</v>
      </c>
      <c r="L115" s="9" t="str">
        <f t="shared" si="3"/>
        <v>23286 INSTITUT ZA JAVNE FINANCIJE</v>
      </c>
      <c r="M115" s="10">
        <v>23286</v>
      </c>
      <c r="N115" s="11" t="s">
        <v>386</v>
      </c>
      <c r="O115" s="11" t="s">
        <v>294</v>
      </c>
      <c r="P115" s="11" t="s">
        <v>387</v>
      </c>
      <c r="Q115" s="11" t="s">
        <v>191</v>
      </c>
      <c r="R115" s="12">
        <v>3226344</v>
      </c>
      <c r="S115" s="13" t="s">
        <v>388</v>
      </c>
      <c r="T115" s="13" t="s">
        <v>347</v>
      </c>
      <c r="U115" s="14" t="s">
        <v>348</v>
      </c>
      <c r="V115" s="2"/>
      <c r="W115" s="2"/>
      <c r="X115" s="2"/>
      <c r="Y115" s="2"/>
      <c r="Z115" s="2"/>
      <c r="AA115" s="2"/>
      <c r="AB115" s="2"/>
    </row>
    <row r="116" spans="1:28" hidden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9">
        <v>16</v>
      </c>
      <c r="L116" s="9" t="str">
        <f t="shared" si="3"/>
        <v>2959 INSTITUT ZA MEDICINSKA ISTRAŽIVANJA I MEDICINU RADA</v>
      </c>
      <c r="M116" s="10">
        <v>2959</v>
      </c>
      <c r="N116" s="11" t="s">
        <v>389</v>
      </c>
      <c r="O116" s="11" t="s">
        <v>294</v>
      </c>
      <c r="P116" s="11" t="s">
        <v>390</v>
      </c>
      <c r="Q116" s="11" t="s">
        <v>191</v>
      </c>
      <c r="R116" s="12">
        <v>3270475</v>
      </c>
      <c r="S116" s="13" t="s">
        <v>391</v>
      </c>
      <c r="T116" s="13" t="s">
        <v>347</v>
      </c>
      <c r="U116" s="14" t="s">
        <v>348</v>
      </c>
      <c r="V116" s="2"/>
      <c r="W116" s="2"/>
      <c r="X116" s="2"/>
      <c r="Y116" s="2"/>
      <c r="Z116" s="2"/>
      <c r="AA116" s="2"/>
      <c r="AB116" s="2"/>
    </row>
    <row r="117" spans="1:28" hidden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9">
        <v>17</v>
      </c>
      <c r="L117" s="9" t="str">
        <f t="shared" si="3"/>
        <v>22621 INSTITUT ZA RAZVOJ I MEĐUNARODNE ODNOSE</v>
      </c>
      <c r="M117" s="10">
        <v>22621</v>
      </c>
      <c r="N117" s="11" t="s">
        <v>392</v>
      </c>
      <c r="O117" s="11" t="s">
        <v>294</v>
      </c>
      <c r="P117" s="11" t="s">
        <v>393</v>
      </c>
      <c r="Q117" s="11" t="s">
        <v>191</v>
      </c>
      <c r="R117" s="12">
        <v>3205177</v>
      </c>
      <c r="S117" s="13" t="s">
        <v>394</v>
      </c>
      <c r="T117" s="13" t="s">
        <v>347</v>
      </c>
      <c r="U117" s="14" t="s">
        <v>348</v>
      </c>
      <c r="V117" s="2"/>
      <c r="W117" s="2"/>
      <c r="X117" s="2"/>
      <c r="Y117" s="2"/>
      <c r="Z117" s="2"/>
      <c r="AA117" s="2"/>
      <c r="AB117" s="2"/>
    </row>
    <row r="118" spans="1:28" hidden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9">
        <v>18</v>
      </c>
      <c r="L118" s="9" t="str">
        <f t="shared" si="3"/>
        <v>3009 INSTITUT ZA MIGRACIJE I NARODNOSTI</v>
      </c>
      <c r="M118" s="10">
        <v>3009</v>
      </c>
      <c r="N118" s="11" t="s">
        <v>395</v>
      </c>
      <c r="O118" s="11" t="s">
        <v>294</v>
      </c>
      <c r="P118" s="11" t="s">
        <v>396</v>
      </c>
      <c r="Q118" s="11" t="s">
        <v>191</v>
      </c>
      <c r="R118" s="12">
        <v>3287572</v>
      </c>
      <c r="S118" s="13" t="s">
        <v>397</v>
      </c>
      <c r="T118" s="13" t="s">
        <v>347</v>
      </c>
      <c r="U118" s="14" t="s">
        <v>348</v>
      </c>
      <c r="V118" s="2"/>
      <c r="W118" s="2"/>
      <c r="X118" s="2"/>
      <c r="Y118" s="2"/>
      <c r="Z118" s="2"/>
      <c r="AA118" s="2"/>
      <c r="AB118" s="2"/>
    </row>
    <row r="119" spans="1:28" hidden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9">
        <v>19</v>
      </c>
      <c r="L119" s="9" t="str">
        <f t="shared" si="3"/>
        <v>2900 INSTITUT ZA OCEANOGRAFIJU I RIBARSTVO</v>
      </c>
      <c r="M119" s="10">
        <v>2900</v>
      </c>
      <c r="N119" s="11" t="s">
        <v>398</v>
      </c>
      <c r="O119" s="11" t="s">
        <v>294</v>
      </c>
      <c r="P119" s="11" t="s">
        <v>399</v>
      </c>
      <c r="Q119" s="11" t="s">
        <v>149</v>
      </c>
      <c r="R119" s="12">
        <v>3118355</v>
      </c>
      <c r="S119" s="13" t="s">
        <v>400</v>
      </c>
      <c r="T119" s="13" t="s">
        <v>347</v>
      </c>
      <c r="U119" s="14" t="s">
        <v>348</v>
      </c>
      <c r="V119" s="2"/>
      <c r="W119" s="2"/>
      <c r="X119" s="2"/>
      <c r="Y119" s="2"/>
      <c r="Z119" s="2"/>
      <c r="AA119" s="2"/>
      <c r="AB119" s="2"/>
    </row>
    <row r="120" spans="1:28" hidden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9">
        <v>20</v>
      </c>
      <c r="L120" s="9" t="str">
        <f t="shared" si="3"/>
        <v>3076 INSTITUT ZA POLJOPRIVREDU I TURIZAM</v>
      </c>
      <c r="M120" s="10">
        <v>3076</v>
      </c>
      <c r="N120" s="11" t="s">
        <v>401</v>
      </c>
      <c r="O120" s="11" t="s">
        <v>294</v>
      </c>
      <c r="P120" s="11" t="s">
        <v>402</v>
      </c>
      <c r="Q120" s="11" t="s">
        <v>403</v>
      </c>
      <c r="R120" s="12">
        <v>3421031</v>
      </c>
      <c r="S120" s="13" t="s">
        <v>404</v>
      </c>
      <c r="T120" s="13" t="s">
        <v>347</v>
      </c>
      <c r="U120" s="14" t="s">
        <v>348</v>
      </c>
      <c r="V120" s="2"/>
      <c r="W120" s="2"/>
      <c r="X120" s="2"/>
      <c r="Y120" s="2"/>
      <c r="Z120" s="2"/>
      <c r="AA120" s="2"/>
      <c r="AB120" s="2"/>
    </row>
    <row r="121" spans="1:28" hidden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9">
        <v>21</v>
      </c>
      <c r="L121" s="9" t="str">
        <f t="shared" si="3"/>
        <v>2942 INSTITUT ZA POVIJEST UMJETNOSTI</v>
      </c>
      <c r="M121" s="10">
        <v>2942</v>
      </c>
      <c r="N121" s="11" t="s">
        <v>405</v>
      </c>
      <c r="O121" s="11" t="s">
        <v>294</v>
      </c>
      <c r="P121" s="11" t="s">
        <v>406</v>
      </c>
      <c r="Q121" s="11" t="s">
        <v>191</v>
      </c>
      <c r="R121" s="12">
        <v>1339958</v>
      </c>
      <c r="S121" s="13" t="s">
        <v>407</v>
      </c>
      <c r="T121" s="13" t="s">
        <v>347</v>
      </c>
      <c r="U121" s="14" t="s">
        <v>348</v>
      </c>
      <c r="V121" s="2"/>
      <c r="W121" s="2"/>
      <c r="X121" s="2"/>
      <c r="Y121" s="2"/>
      <c r="Z121" s="2"/>
      <c r="AA121" s="2"/>
      <c r="AB121" s="2"/>
    </row>
    <row r="122" spans="1:28" hidden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9">
        <v>22</v>
      </c>
      <c r="L122" s="9" t="str">
        <f t="shared" si="3"/>
        <v>3068 INSTITUT ZA TURIZAM</v>
      </c>
      <c r="M122" s="10">
        <v>3068</v>
      </c>
      <c r="N122" s="11" t="s">
        <v>408</v>
      </c>
      <c r="O122" s="11" t="s">
        <v>294</v>
      </c>
      <c r="P122" s="11" t="s">
        <v>409</v>
      </c>
      <c r="Q122" s="11" t="s">
        <v>191</v>
      </c>
      <c r="R122" s="12">
        <v>3208001</v>
      </c>
      <c r="S122" s="13" t="s">
        <v>410</v>
      </c>
      <c r="T122" s="13" t="s">
        <v>347</v>
      </c>
      <c r="U122" s="14" t="s">
        <v>348</v>
      </c>
      <c r="V122" s="2"/>
      <c r="W122" s="2"/>
      <c r="X122" s="2"/>
      <c r="Y122" s="2"/>
      <c r="Z122" s="2"/>
      <c r="AA122" s="2"/>
      <c r="AB122" s="2"/>
    </row>
    <row r="123" spans="1:28" hidden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9">
        <v>23</v>
      </c>
      <c r="L123" s="9" t="str">
        <f t="shared" si="3"/>
        <v>21070 STAROSLAVENSKI INSTITUT</v>
      </c>
      <c r="M123" s="10">
        <v>21070</v>
      </c>
      <c r="N123" s="11" t="s">
        <v>411</v>
      </c>
      <c r="O123" s="11" t="s">
        <v>294</v>
      </c>
      <c r="P123" s="11" t="s">
        <v>412</v>
      </c>
      <c r="Q123" s="11" t="s">
        <v>191</v>
      </c>
      <c r="R123" s="12">
        <v>1259563</v>
      </c>
      <c r="S123" s="13" t="s">
        <v>413</v>
      </c>
      <c r="T123" s="13" t="s">
        <v>347</v>
      </c>
      <c r="U123" s="14" t="s">
        <v>348</v>
      </c>
      <c r="V123" s="2"/>
      <c r="W123" s="2"/>
      <c r="X123" s="2"/>
      <c r="Y123" s="2"/>
      <c r="Z123" s="2"/>
      <c r="AA123" s="2"/>
      <c r="AB123" s="2"/>
    </row>
    <row r="124" spans="1:28" hidden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9">
        <v>24</v>
      </c>
      <c r="L124" s="9" t="str">
        <f t="shared" si="3"/>
        <v>2967 HRVATSKI ŠUMARSKI INSTITUT</v>
      </c>
      <c r="M124" s="10">
        <v>2967</v>
      </c>
      <c r="N124" s="11" t="s">
        <v>414</v>
      </c>
      <c r="O124" s="11" t="s">
        <v>294</v>
      </c>
      <c r="P124" s="11" t="s">
        <v>415</v>
      </c>
      <c r="Q124" s="11" t="s">
        <v>416</v>
      </c>
      <c r="R124" s="12">
        <v>3115879</v>
      </c>
      <c r="S124" s="13" t="s">
        <v>417</v>
      </c>
      <c r="T124" s="13" t="s">
        <v>347</v>
      </c>
      <c r="U124" s="14" t="s">
        <v>348</v>
      </c>
      <c r="V124" s="2"/>
      <c r="W124" s="2"/>
      <c r="X124" s="2"/>
      <c r="Y124" s="2"/>
      <c r="Z124" s="2"/>
      <c r="AA124" s="2"/>
      <c r="AB124" s="2"/>
    </row>
    <row r="125" spans="1:28" hidden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9">
        <v>25</v>
      </c>
      <c r="L125" s="9" t="str">
        <f t="shared" si="3"/>
        <v>2991 Poljoprivredni institut, Osijek</v>
      </c>
      <c r="M125" s="10">
        <v>2991</v>
      </c>
      <c r="N125" s="11" t="s">
        <v>418</v>
      </c>
      <c r="O125" s="11" t="s">
        <v>294</v>
      </c>
      <c r="P125" s="11" t="s">
        <v>396</v>
      </c>
      <c r="Q125" s="11" t="s">
        <v>191</v>
      </c>
      <c r="R125" s="12">
        <v>3287572</v>
      </c>
      <c r="S125" s="13" t="s">
        <v>397</v>
      </c>
      <c r="T125" s="13" t="s">
        <v>347</v>
      </c>
      <c r="U125" s="14" t="s">
        <v>348</v>
      </c>
      <c r="V125" s="2"/>
      <c r="W125" s="2"/>
      <c r="X125" s="2"/>
      <c r="Y125" s="2"/>
      <c r="Z125" s="2"/>
      <c r="AA125" s="2"/>
      <c r="AB125" s="2"/>
    </row>
    <row r="126" spans="1:28" hidden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44">
        <v>1</v>
      </c>
      <c r="L126" s="44" t="str">
        <f t="shared" si="3"/>
        <v>6179 DRŽAVNI ZAVOD ZA INTELEKTUALNO VLASNIŠTVO</v>
      </c>
      <c r="M126" s="45">
        <v>6179</v>
      </c>
      <c r="N126" s="46" t="s">
        <v>419</v>
      </c>
      <c r="O126" s="46" t="s">
        <v>294</v>
      </c>
      <c r="P126" s="46" t="s">
        <v>420</v>
      </c>
      <c r="Q126" s="46" t="s">
        <v>191</v>
      </c>
      <c r="R126" s="47">
        <v>3899772</v>
      </c>
      <c r="S126" s="48" t="s">
        <v>421</v>
      </c>
      <c r="T126" s="48" t="s">
        <v>422</v>
      </c>
      <c r="U126" s="49" t="s">
        <v>423</v>
      </c>
      <c r="V126" s="2"/>
      <c r="W126" s="2"/>
      <c r="X126" s="2"/>
      <c r="Y126" s="2"/>
      <c r="Z126" s="2"/>
      <c r="AA126" s="2"/>
      <c r="AB126" s="2"/>
    </row>
    <row r="127" spans="1:28" hidden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44">
        <v>2</v>
      </c>
      <c r="L127" s="44" t="str">
        <f t="shared" si="3"/>
        <v>21836 NACIONALNA I SVEUČILIŠNA KNJIŽNICA U ZAGREBU</v>
      </c>
      <c r="M127" s="45">
        <v>21836</v>
      </c>
      <c r="N127" s="46" t="s">
        <v>424</v>
      </c>
      <c r="O127" s="46" t="s">
        <v>294</v>
      </c>
      <c r="P127" s="50" t="s">
        <v>425</v>
      </c>
      <c r="Q127" s="46" t="s">
        <v>191</v>
      </c>
      <c r="R127" s="47">
        <v>3205363</v>
      </c>
      <c r="S127" s="48" t="s">
        <v>426</v>
      </c>
      <c r="T127" s="48" t="s">
        <v>422</v>
      </c>
      <c r="U127" s="51" t="s">
        <v>423</v>
      </c>
      <c r="V127" s="2"/>
      <c r="W127" s="2"/>
      <c r="X127" s="2"/>
      <c r="Y127" s="2"/>
      <c r="Z127" s="2"/>
      <c r="AA127" s="2"/>
      <c r="AB127" s="2"/>
    </row>
    <row r="128" spans="1:28" hidden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44">
        <v>3</v>
      </c>
      <c r="L128" s="44" t="str">
        <f t="shared" si="3"/>
        <v>21852 HRVATSKA AKADEMSKA I ISTRAŽIVAČKA MREŽA - CARNET</v>
      </c>
      <c r="M128" s="45">
        <v>21852</v>
      </c>
      <c r="N128" s="46" t="s">
        <v>427</v>
      </c>
      <c r="O128" s="46" t="s">
        <v>294</v>
      </c>
      <c r="P128" s="50" t="s">
        <v>428</v>
      </c>
      <c r="Q128" s="46" t="s">
        <v>191</v>
      </c>
      <c r="R128" s="47">
        <v>1147820</v>
      </c>
      <c r="S128" s="48" t="s">
        <v>429</v>
      </c>
      <c r="T128" s="48" t="s">
        <v>422</v>
      </c>
      <c r="U128" s="51" t="s">
        <v>423</v>
      </c>
      <c r="V128" s="2"/>
      <c r="W128" s="2"/>
      <c r="X128" s="2"/>
      <c r="Y128" s="2"/>
      <c r="Z128" s="2"/>
      <c r="AA128" s="2"/>
      <c r="AB128" s="2"/>
    </row>
    <row r="129" spans="1:28" hidden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44">
        <v>4</v>
      </c>
      <c r="L129" s="44" t="str">
        <f t="shared" si="3"/>
        <v>21869 LEKSIKOGRAFSKI ZAVOD MIROSLAV KRLEŽA</v>
      </c>
      <c r="M129" s="45">
        <v>21869</v>
      </c>
      <c r="N129" s="46" t="s">
        <v>430</v>
      </c>
      <c r="O129" s="46" t="s">
        <v>294</v>
      </c>
      <c r="P129" s="50" t="s">
        <v>431</v>
      </c>
      <c r="Q129" s="46" t="s">
        <v>191</v>
      </c>
      <c r="R129" s="47">
        <v>3211622</v>
      </c>
      <c r="S129" s="48" t="s">
        <v>432</v>
      </c>
      <c r="T129" s="48" t="s">
        <v>422</v>
      </c>
      <c r="U129" s="51" t="s">
        <v>423</v>
      </c>
      <c r="V129" s="2"/>
      <c r="W129" s="2"/>
      <c r="X129" s="2"/>
      <c r="Y129" s="2"/>
      <c r="Z129" s="2"/>
      <c r="AA129" s="2"/>
      <c r="AB129" s="2"/>
    </row>
    <row r="130" spans="1:28" hidden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44">
        <v>5</v>
      </c>
      <c r="L130" s="44" t="str">
        <f t="shared" si="3"/>
        <v>23665 SVEUČILIŠTE U ZAGREBU - SVEUČILIŠNI RAČUNSKI CENTAR - SRCE</v>
      </c>
      <c r="M130" s="45">
        <v>23665</v>
      </c>
      <c r="N130" s="46" t="s">
        <v>433</v>
      </c>
      <c r="O130" s="46" t="s">
        <v>294</v>
      </c>
      <c r="P130" s="50" t="s">
        <v>428</v>
      </c>
      <c r="Q130" s="46" t="s">
        <v>191</v>
      </c>
      <c r="R130" s="47">
        <v>3283020</v>
      </c>
      <c r="S130" s="48" t="s">
        <v>434</v>
      </c>
      <c r="T130" s="48" t="s">
        <v>422</v>
      </c>
      <c r="U130" s="51" t="s">
        <v>423</v>
      </c>
      <c r="V130" s="2"/>
      <c r="W130" s="2"/>
      <c r="X130" s="2"/>
      <c r="Y130" s="2"/>
      <c r="Z130" s="2"/>
      <c r="AA130" s="2"/>
      <c r="AB130" s="2"/>
    </row>
    <row r="131" spans="1:28" hidden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44">
        <v>6</v>
      </c>
      <c r="L131" s="44" t="str">
        <f t="shared" si="3"/>
        <v>23962 AGENCIJA ZA ODGOJ I OBRAZOVANJE</v>
      </c>
      <c r="M131" s="45">
        <v>23962</v>
      </c>
      <c r="N131" s="46" t="s">
        <v>435</v>
      </c>
      <c r="O131" s="46" t="s">
        <v>294</v>
      </c>
      <c r="P131" s="46" t="s">
        <v>436</v>
      </c>
      <c r="Q131" s="46" t="s">
        <v>191</v>
      </c>
      <c r="R131" s="47">
        <v>1778129</v>
      </c>
      <c r="S131" s="48" t="s">
        <v>437</v>
      </c>
      <c r="T131" s="48" t="s">
        <v>422</v>
      </c>
      <c r="U131" s="51" t="s">
        <v>423</v>
      </c>
      <c r="V131" s="2"/>
      <c r="W131" s="2"/>
      <c r="X131" s="2"/>
      <c r="Y131" s="2"/>
      <c r="Z131" s="2"/>
      <c r="AA131" s="2"/>
      <c r="AB131" s="2"/>
    </row>
    <row r="132" spans="1:28" hidden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44">
        <v>7</v>
      </c>
      <c r="L132" s="44" t="str">
        <f t="shared" si="3"/>
        <v>38487 AGENCIJA ZA ZNANOST I VISOKO OBRAZOVANJE</v>
      </c>
      <c r="M132" s="45">
        <v>38487</v>
      </c>
      <c r="N132" s="46" t="s">
        <v>438</v>
      </c>
      <c r="O132" s="46" t="s">
        <v>294</v>
      </c>
      <c r="P132" s="50" t="s">
        <v>439</v>
      </c>
      <c r="Q132" s="46" t="s">
        <v>191</v>
      </c>
      <c r="R132" s="47">
        <v>1922548</v>
      </c>
      <c r="S132" s="48" t="s">
        <v>440</v>
      </c>
      <c r="T132" s="48" t="s">
        <v>422</v>
      </c>
      <c r="U132" s="51" t="s">
        <v>423</v>
      </c>
      <c r="V132" s="2"/>
      <c r="W132" s="2"/>
      <c r="X132" s="2"/>
      <c r="Y132" s="2"/>
      <c r="Z132" s="2"/>
      <c r="AA132" s="2"/>
      <c r="AB132" s="2"/>
    </row>
    <row r="133" spans="1:28" hidden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44">
        <v>8</v>
      </c>
      <c r="L133" s="44" t="str">
        <f t="shared" si="3"/>
        <v>40883 NACIONALNI CENTAR ZA VANJSKO VREDNOVANJE OBRAZOVANJA</v>
      </c>
      <c r="M133" s="45">
        <v>40883</v>
      </c>
      <c r="N133" s="46" t="s">
        <v>441</v>
      </c>
      <c r="O133" s="46" t="s">
        <v>294</v>
      </c>
      <c r="P133" s="50" t="s">
        <v>442</v>
      </c>
      <c r="Q133" s="46" t="s">
        <v>191</v>
      </c>
      <c r="R133" s="47">
        <v>1943430</v>
      </c>
      <c r="S133" s="48" t="s">
        <v>443</v>
      </c>
      <c r="T133" s="48" t="s">
        <v>422</v>
      </c>
      <c r="U133" s="51" t="s">
        <v>423</v>
      </c>
      <c r="V133" s="2"/>
      <c r="W133" s="2"/>
      <c r="X133" s="2"/>
      <c r="Y133" s="2"/>
      <c r="Z133" s="2"/>
      <c r="AA133" s="2"/>
      <c r="AB133" s="2"/>
    </row>
    <row r="134" spans="1:28" hidden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44">
        <v>9</v>
      </c>
      <c r="L134" s="44" t="str">
        <f t="shared" si="3"/>
        <v>43335 AGENCIJA ZA MOBILNOST I PROGRAME EUROPSKE UNIJE</v>
      </c>
      <c r="M134" s="45">
        <v>43335</v>
      </c>
      <c r="N134" s="46" t="s">
        <v>444</v>
      </c>
      <c r="O134" s="46" t="s">
        <v>294</v>
      </c>
      <c r="P134" s="50" t="s">
        <v>431</v>
      </c>
      <c r="Q134" s="46" t="s">
        <v>191</v>
      </c>
      <c r="R134" s="47">
        <v>2298007</v>
      </c>
      <c r="S134" s="48" t="s">
        <v>445</v>
      </c>
      <c r="T134" s="48" t="s">
        <v>422</v>
      </c>
      <c r="U134" s="51" t="s">
        <v>423</v>
      </c>
      <c r="V134" s="2"/>
      <c r="W134" s="2"/>
      <c r="X134" s="2"/>
      <c r="Y134" s="2"/>
      <c r="Z134" s="2"/>
      <c r="AA134" s="2"/>
      <c r="AB134" s="2"/>
    </row>
    <row r="135" spans="1:28" hidden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44">
        <v>10</v>
      </c>
      <c r="L135" s="44" t="str">
        <f t="shared" ref="L135" si="4">M135&amp;" "&amp;N135</f>
        <v>46173 AGENCIJA ZA STRUKOVNO OBRAZOVANJE I OBRAZOVANJE ODRASLIH</v>
      </c>
      <c r="M135" s="45">
        <v>46173</v>
      </c>
      <c r="N135" s="46" t="s">
        <v>446</v>
      </c>
      <c r="O135" s="46" t="s">
        <v>294</v>
      </c>
      <c r="P135" s="50" t="s">
        <v>447</v>
      </c>
      <c r="Q135" s="46" t="s">
        <v>191</v>
      </c>
      <c r="R135" s="47">
        <v>2650029</v>
      </c>
      <c r="S135" s="48" t="s">
        <v>448</v>
      </c>
      <c r="T135" s="48" t="s">
        <v>422</v>
      </c>
      <c r="U135" s="51" t="s">
        <v>423</v>
      </c>
      <c r="V135" s="2"/>
      <c r="W135" s="2"/>
      <c r="X135" s="2"/>
      <c r="Y135" s="2"/>
      <c r="Z135" s="2"/>
      <c r="AA135" s="2"/>
      <c r="AB135" s="2"/>
    </row>
    <row r="136" spans="1:28" hidden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idden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idden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idden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idden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idden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idden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idden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idden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idden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idden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idden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idden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idden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idden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idden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idden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idden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idden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idden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idden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idden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idden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idden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idden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idden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idden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idden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idden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idden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idden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idden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idden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idden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idden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idden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idden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idden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idden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idden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idden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idden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idden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idden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idden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idden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idden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idden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idden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idden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idden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idden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idden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idden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idden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idden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idden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idden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idden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idden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idden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idden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idden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idden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idden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idden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idden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idden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idden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idden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idden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idden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idden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idden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idden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idden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idden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idden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idden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idden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idden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idden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idden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idden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idden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idden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idden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idden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idden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idden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idden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idden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idden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idden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idden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idden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idden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idden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idden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idden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idden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idden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idden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idden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idden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idden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idden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idden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idden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idden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idden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idden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idden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idden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idden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idden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idden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idden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idden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idden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idden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idden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idden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idden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idden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idden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idden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idden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idden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idden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idden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idden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idden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idden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idden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idden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idden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idden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idden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idden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idden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idden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idden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idden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idden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idden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idden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idden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idden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idden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idden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idden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idden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idden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idden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idden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idden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idden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idden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idden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idden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idden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idden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idden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idden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idden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idden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idden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idden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idden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idden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idden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idden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idden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idden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idden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idden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idden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idden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idden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idden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idden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idden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idden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idden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idden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idden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idden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idden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idden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idden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idden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idden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idden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idden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idden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idden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idden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idden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idden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idden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idden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idden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idden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idden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idden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idden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idden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idden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idden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idden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idden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idden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idden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idden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idden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idden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idden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idden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idden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idden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idden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idden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idden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idden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idden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idden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idden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idden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idden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idden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idden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idden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idden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idden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idden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idden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idden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idden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idden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idden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idden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idden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idden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idden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idden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idden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idden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idden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idden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idden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idden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idden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idden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idden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idden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idden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idden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idden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idden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idden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idden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idden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idden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idden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idden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idden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idden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idden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idden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idden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idden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idden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idden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idden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idden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idden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idden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idden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idden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idden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idden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idden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idden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idden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idden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idden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idden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idden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idden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idden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idden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idden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idden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idden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idden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idden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idden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idden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idden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idden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idden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idden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idden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idden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idden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idden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idden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idden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idden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idden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idden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idden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idden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idden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idden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idden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idden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idden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idden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idden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idden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idden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idden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idden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idden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idden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idden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idden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idden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idden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idden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idden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idden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idden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idden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idden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idden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idden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idden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idden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idden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idden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idden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idden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idden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idden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idden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idden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idden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idden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idden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idden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idden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idden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idden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idden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idden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idden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idden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idden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idden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idden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idden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idden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idden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idden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idden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idden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idden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idden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idden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idden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idden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idden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idden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idden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idden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idden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idden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idden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idden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idden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idden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idden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idden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idden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idden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idden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idden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idden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idden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idden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idden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idden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idden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idden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idden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idden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idden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idden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idden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idden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idden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idden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idden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idden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idden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idden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idden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idden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idden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idden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idden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idden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idden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idden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idden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idden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idden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idden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idden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idden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idden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idden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idden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idden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idden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idden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idden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idden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idden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idden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idden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idden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idden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idden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idden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idden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idden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idden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idden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idden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idden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idden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idden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idden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idden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idden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idden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idden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idden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idden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idden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idden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idden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idden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idden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idden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idden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idden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idden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idden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idden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idden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idden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idden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idden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idden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idden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idden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idden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idden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idden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idden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idden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idden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idden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idden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idden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idden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idden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idden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idden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idden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idden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idden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idden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idden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idden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idden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idden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idden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idden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idden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idden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idden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idden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idden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idden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idden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idden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idden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idden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idden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idden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idden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idden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idden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idden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idden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idden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idden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idden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idden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idden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idden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idden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idden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idden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idden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idden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idden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idden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idden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idden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idden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idden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idden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idden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idden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idden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idden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idden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idden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idden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idden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idden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idden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idden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idden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idden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idden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idden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idden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idden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idden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idden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idden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idden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idden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idden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idden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idden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idden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idden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idden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idden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idden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idden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idden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idden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idden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idden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idden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idden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idden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idden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idden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idden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idden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idden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idden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idden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idden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idden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idden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idden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idden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idden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idden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idden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idden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idden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idden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idden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idden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idden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idden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idden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idden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idden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idden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idden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idden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idden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idden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idden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idden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idden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idden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idden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idden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idden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idden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idden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idden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idden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idden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idden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idden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idden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idden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idden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idden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idden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idden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idden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idden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idden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idden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idden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idden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idden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idden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idden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idden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idden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idden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idden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idden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idden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idden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idden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idden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idden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idden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idden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idden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idden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idden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idden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idden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idden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idden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idden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idden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idden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idden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idden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idden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idden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idden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idden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idden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idden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idden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idden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idden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idden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idden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idden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idden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idden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idden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idden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idden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idden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idden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idden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idden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idden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idden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idden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idden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idden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idden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idden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idden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idden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idden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idden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idden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idden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idden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idden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idden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idden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idden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idden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idden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idden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idden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idden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idden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idden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idden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idden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idden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idden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idden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idden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idden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idden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idden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idden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idden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idden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idden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idden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idden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idden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idden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idden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idden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idden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idden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idden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idden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idden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idden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idden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idden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idden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idden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idden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idden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idden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idden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idden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idden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idden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idden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idden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idden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idden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idden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idden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idden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idden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idden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idden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idden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idden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idden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idden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idden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idden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idden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idden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idden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idden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idden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idden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idden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idden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idden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idden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idden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idden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idden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idden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idden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idden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idden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idden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idden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idden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idden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idden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idden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idden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idden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idden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idden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idden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idden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idden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idden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idden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idden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idden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idden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idden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idden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idden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idden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idden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idden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idden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idden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idden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idden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idden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idden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idden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idden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idden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idden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idden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idden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idden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idden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idden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idden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idden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idden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idden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idden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idden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idden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idden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idden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idden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idden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idden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idden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idden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idden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idden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idden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idden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idden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idden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idden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idden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idden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idden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idden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idden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idden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idden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idden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idden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idden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idden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idden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idden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idden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idden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idden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idden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idden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idden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idden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idden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idden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idden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idden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idden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idden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idden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idden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idden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idden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idden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idden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idden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idden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idden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idden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</sheetData>
  <sheetProtection password="DE31" sheet="1" objects="1" scenarios="1" selectLockedCells="1"/>
  <mergeCells count="11">
    <mergeCell ref="B30:E30"/>
    <mergeCell ref="B9:E9"/>
    <mergeCell ref="B10:E10"/>
    <mergeCell ref="B11:E11"/>
    <mergeCell ref="B21:E21"/>
    <mergeCell ref="B25:E25"/>
    <mergeCell ref="C3:E3"/>
    <mergeCell ref="C4:E4"/>
    <mergeCell ref="C5:E5"/>
    <mergeCell ref="C6:E6"/>
    <mergeCell ref="C7:E7"/>
  </mergeCells>
  <dataValidations count="1">
    <dataValidation type="list" allowBlank="1" showInputMessage="1" showErrorMessage="1" prompt="Molimo odabrati proračunskog korisnika iz padajućeg izbornika!" sqref="C3:E3" xr:uid="{00000000-0002-0000-0000-000000000000}">
      <formula1>$L$6:$L$135</formula1>
      <formula2>0</formula2>
    </dataValidation>
  </dataValidations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502"/>
  <sheetViews>
    <sheetView showGridLines="0" tabSelected="1" zoomScaleNormal="100" workbookViewId="0">
      <pane ySplit="2" topLeftCell="A3" activePane="bottomLeft" state="frozen"/>
      <selection pane="bottomLeft" activeCell="I4" sqref="I4"/>
    </sheetView>
  </sheetViews>
  <sheetFormatPr defaultRowHeight="14.4" zeroHeight="1"/>
  <cols>
    <col min="1" max="1" width="7.88671875" customWidth="1"/>
    <col min="2" max="2" width="33.6640625" customWidth="1"/>
    <col min="3" max="3" width="7" customWidth="1"/>
    <col min="4" max="4" width="19" customWidth="1"/>
    <col min="5" max="5" width="13.109375" customWidth="1"/>
    <col min="6" max="6" width="46" customWidth="1"/>
    <col min="7" max="7" width="16.44140625" style="52" customWidth="1"/>
    <col min="8" max="8" width="17" style="52" customWidth="1"/>
    <col min="9" max="9" width="16.44140625" style="52" customWidth="1"/>
    <col min="10" max="10" width="9.109375" customWidth="1"/>
    <col min="11" max="14" width="9.109375" hidden="1" customWidth="1"/>
    <col min="15" max="15" width="26.44140625" hidden="1" customWidth="1"/>
    <col min="16" max="17" width="9.109375" hidden="1" customWidth="1"/>
    <col min="18" max="18" width="12.33203125" hidden="1" customWidth="1"/>
    <col min="19" max="1025" width="9.109375" hidden="1" customWidth="1"/>
  </cols>
  <sheetData>
    <row r="1" spans="1:22" ht="37.5" customHeight="1">
      <c r="A1" s="237" t="s">
        <v>449</v>
      </c>
      <c r="B1" s="237"/>
      <c r="C1" s="237"/>
      <c r="D1" s="237"/>
      <c r="E1" s="53" t="str">
        <f>IF('Opći dio'!C3="odaberite -","Molimo odaberite proračunskog korisnika na radnom listu Opći podaci!","")</f>
        <v/>
      </c>
    </row>
    <row r="2" spans="1:22" ht="36" customHeight="1">
      <c r="A2" s="54" t="s">
        <v>450</v>
      </c>
      <c r="B2" s="54" t="s">
        <v>451</v>
      </c>
      <c r="C2" s="54" t="s">
        <v>452</v>
      </c>
      <c r="D2" s="54" t="s">
        <v>453</v>
      </c>
      <c r="E2" s="55" t="s">
        <v>454</v>
      </c>
      <c r="F2" s="54" t="s">
        <v>455</v>
      </c>
      <c r="G2" s="56" t="s">
        <v>42</v>
      </c>
      <c r="H2" s="56" t="s">
        <v>43</v>
      </c>
      <c r="I2" s="56" t="s">
        <v>44</v>
      </c>
      <c r="K2" s="57" t="s">
        <v>456</v>
      </c>
      <c r="L2" s="57" t="s">
        <v>457</v>
      </c>
      <c r="R2" s="58" t="s">
        <v>458</v>
      </c>
    </row>
    <row r="3" spans="1:22">
      <c r="A3" s="59" t="str">
        <f>IF(E3="","",VLOOKUP('Opći dio'!$C$3,'Opći dio'!$L$6:$U$135,10,0))</f>
        <v>08008</v>
      </c>
      <c r="B3" s="59" t="str">
        <f>IF(E3="","",VLOOKUP('Opći dio'!$C$3,'Opći dio'!$L$6:$U$135,9,0))</f>
        <v>Javni instituti</v>
      </c>
      <c r="C3" s="60">
        <f t="shared" ref="C3:C66" si="0">IFERROR(VLOOKUP(E3,$R$6:$U$73,3,0),"")</f>
        <v>11</v>
      </c>
      <c r="D3" s="61" t="str">
        <f t="shared" ref="D3:D66" si="1">IFERROR(VLOOKUP(E3,$R$6:$U$73,4,0),"")</f>
        <v>Opći prihodi i primici</v>
      </c>
      <c r="E3" s="62" t="s">
        <v>458</v>
      </c>
      <c r="F3" s="63" t="str">
        <f t="shared" ref="F3:F66" si="2">IFERROR(VLOOKUP(E3,$R$6:$U$73,2,0),"")</f>
        <v>Prihodi iz nadležnog proračuna za financiranje redovne djelatnosti proračunskih korisnika</v>
      </c>
      <c r="G3" s="64">
        <v>4416566</v>
      </c>
      <c r="H3" s="64">
        <v>4677908</v>
      </c>
      <c r="I3" s="64">
        <v>4678206</v>
      </c>
      <c r="K3" t="str">
        <f t="shared" ref="K3:K66" si="3">LEFT(E3,3)</f>
        <v>671</v>
      </c>
      <c r="L3" t="str">
        <f t="shared" ref="L3:L66" si="4">LEFT(E3,2)</f>
        <v>67</v>
      </c>
      <c r="M3" t="s">
        <v>459</v>
      </c>
      <c r="R3" s="58" t="s">
        <v>460</v>
      </c>
    </row>
    <row r="4" spans="1:22">
      <c r="A4" s="59" t="str">
        <f>IF(E4="","",VLOOKUP('Opći dio'!$C$3,'Opći dio'!$L$6:$U$135,10,0))</f>
        <v>08008</v>
      </c>
      <c r="B4" s="59" t="str">
        <f>IF(E4="","",VLOOKUP('Opći dio'!$C$3,'Opći dio'!$L$6:$U$135,9,0))</f>
        <v>Javni instituti</v>
      </c>
      <c r="C4" s="60">
        <f t="shared" si="0"/>
        <v>11</v>
      </c>
      <c r="D4" s="61" t="str">
        <f t="shared" si="1"/>
        <v>Opći prihodi i primici</v>
      </c>
      <c r="E4" s="62" t="s">
        <v>458</v>
      </c>
      <c r="F4" s="63" t="str">
        <f t="shared" si="2"/>
        <v>Prihodi iz nadležnog proračuna za financiranje redovne djelatnosti proračunskih korisnika</v>
      </c>
      <c r="G4" s="64">
        <v>776427</v>
      </c>
      <c r="H4" s="64">
        <v>805014</v>
      </c>
      <c r="I4" s="64">
        <v>865088</v>
      </c>
      <c r="K4" t="str">
        <f t="shared" si="3"/>
        <v>671</v>
      </c>
      <c r="L4" t="str">
        <f t="shared" si="4"/>
        <v>67</v>
      </c>
    </row>
    <row r="5" spans="1:22">
      <c r="A5" s="59" t="str">
        <f>IF(E5="","",VLOOKUP('Opći dio'!$C$3,'Opći dio'!$L$6:$U$135,10,0))</f>
        <v>08008</v>
      </c>
      <c r="B5" s="59" t="str">
        <f>IF(E5="","",VLOOKUP('Opći dio'!$C$3,'Opći dio'!$L$6:$U$135,9,0))</f>
        <v>Javni instituti</v>
      </c>
      <c r="C5" s="60">
        <f t="shared" si="0"/>
        <v>31</v>
      </c>
      <c r="D5" s="61" t="str">
        <f t="shared" si="1"/>
        <v>Vlastiti prihodi</v>
      </c>
      <c r="E5" s="62">
        <v>6614</v>
      </c>
      <c r="F5" s="63" t="str">
        <f t="shared" si="2"/>
        <v>Prihodi od prodaje proizvoda i robe</v>
      </c>
      <c r="G5" s="64">
        <v>2800</v>
      </c>
      <c r="H5" s="64">
        <v>3000</v>
      </c>
      <c r="I5" s="64">
        <v>3000</v>
      </c>
      <c r="K5" t="str">
        <f t="shared" si="3"/>
        <v>661</v>
      </c>
      <c r="L5" t="str">
        <f t="shared" si="4"/>
        <v>66</v>
      </c>
      <c r="M5" t="s">
        <v>452</v>
      </c>
      <c r="O5" t="s">
        <v>453</v>
      </c>
      <c r="R5" s="65" t="s">
        <v>461</v>
      </c>
      <c r="S5" s="54" t="s">
        <v>462</v>
      </c>
      <c r="T5" s="54" t="s">
        <v>463</v>
      </c>
      <c r="U5" s="54" t="s">
        <v>453</v>
      </c>
      <c r="V5" s="66" t="s">
        <v>464</v>
      </c>
    </row>
    <row r="6" spans="1:22">
      <c r="A6" s="59" t="str">
        <f>IF(E6="","",VLOOKUP('Opći dio'!$C$3,'Opći dio'!$L$6:$U$135,10,0))</f>
        <v>08008</v>
      </c>
      <c r="B6" s="59" t="str">
        <f>IF(E6="","",VLOOKUP('Opći dio'!$C$3,'Opći dio'!$L$6:$U$135,9,0))</f>
        <v>Javni instituti</v>
      </c>
      <c r="C6" s="60">
        <f t="shared" si="0"/>
        <v>31</v>
      </c>
      <c r="D6" s="61" t="str">
        <f t="shared" si="1"/>
        <v>Vlastiti prihodi</v>
      </c>
      <c r="E6" s="62">
        <v>6615</v>
      </c>
      <c r="F6" s="63" t="str">
        <f t="shared" si="2"/>
        <v>Prihodi od pruženih usluga</v>
      </c>
      <c r="G6" s="64">
        <v>9200</v>
      </c>
      <c r="H6" s="64">
        <v>9400</v>
      </c>
      <c r="I6" s="64">
        <v>9600</v>
      </c>
      <c r="K6" t="str">
        <f t="shared" si="3"/>
        <v>661</v>
      </c>
      <c r="L6" t="str">
        <f t="shared" si="4"/>
        <v>66</v>
      </c>
      <c r="M6">
        <v>11</v>
      </c>
      <c r="O6" t="s">
        <v>465</v>
      </c>
      <c r="R6" s="67" t="s">
        <v>458</v>
      </c>
      <c r="S6" s="68" t="s">
        <v>466</v>
      </c>
      <c r="T6" s="58">
        <v>11</v>
      </c>
      <c r="U6" s="58" t="s">
        <v>465</v>
      </c>
      <c r="V6" t="str">
        <f>LEFT(R70,3)</f>
        <v>723</v>
      </c>
    </row>
    <row r="7" spans="1:22">
      <c r="A7" s="59" t="str">
        <f>IF(E7="","",VLOOKUP('Opći dio'!$C$3,'Opći dio'!$L$6:$U$135,10,0))</f>
        <v>08008</v>
      </c>
      <c r="B7" s="59" t="str">
        <f>IF(E7="","",VLOOKUP('Opći dio'!$C$3,'Opći dio'!$L$6:$U$135,9,0))</f>
        <v>Javni instituti</v>
      </c>
      <c r="C7" s="60">
        <f t="shared" si="0"/>
        <v>31</v>
      </c>
      <c r="D7" s="61" t="str">
        <f t="shared" si="1"/>
        <v>Vlastiti prihodi</v>
      </c>
      <c r="E7" s="62">
        <v>641320031</v>
      </c>
      <c r="F7" s="63" t="str">
        <f t="shared" si="2"/>
        <v>Kamate na depozite po viđenju izvor 31</v>
      </c>
      <c r="G7" s="64">
        <v>300</v>
      </c>
      <c r="H7" s="64">
        <v>300</v>
      </c>
      <c r="I7" s="64">
        <v>300</v>
      </c>
      <c r="K7" t="str">
        <f t="shared" si="3"/>
        <v>641</v>
      </c>
      <c r="L7" t="str">
        <f t="shared" si="4"/>
        <v>64</v>
      </c>
      <c r="M7">
        <v>12</v>
      </c>
      <c r="O7" t="s">
        <v>467</v>
      </c>
      <c r="R7" s="67" t="s">
        <v>460</v>
      </c>
      <c r="S7" s="68" t="s">
        <v>466</v>
      </c>
      <c r="T7" s="58">
        <v>12</v>
      </c>
      <c r="U7" s="58" t="s">
        <v>467</v>
      </c>
      <c r="V7" t="str">
        <f>LEFT(R71,3)</f>
        <v>725</v>
      </c>
    </row>
    <row r="8" spans="1:22">
      <c r="A8" s="59" t="str">
        <f>IF(E8="","",VLOOKUP('Opći dio'!$C$3,'Opći dio'!$L$6:$U$135,10,0))</f>
        <v>08008</v>
      </c>
      <c r="B8" s="59" t="str">
        <f>IF(E8="","",VLOOKUP('Opći dio'!$C$3,'Opći dio'!$L$6:$U$135,9,0))</f>
        <v>Javni instituti</v>
      </c>
      <c r="C8" s="60">
        <f t="shared" si="0"/>
        <v>61</v>
      </c>
      <c r="D8" s="61" t="str">
        <f t="shared" si="1"/>
        <v>Donacije</v>
      </c>
      <c r="E8" s="62">
        <v>663110000</v>
      </c>
      <c r="F8" s="63" t="str">
        <f t="shared" si="2"/>
        <v>Tekuće donacije od fizičkih osoba</v>
      </c>
      <c r="G8" s="64">
        <v>4000</v>
      </c>
      <c r="H8" s="64">
        <v>5000</v>
      </c>
      <c r="I8" s="64">
        <v>5000</v>
      </c>
      <c r="K8" t="str">
        <f t="shared" si="3"/>
        <v>663</v>
      </c>
      <c r="L8" t="str">
        <f t="shared" si="4"/>
        <v>66</v>
      </c>
      <c r="M8">
        <v>31</v>
      </c>
      <c r="O8" t="s">
        <v>468</v>
      </c>
      <c r="R8" s="69">
        <v>636</v>
      </c>
      <c r="S8" s="69" t="s">
        <v>469</v>
      </c>
      <c r="T8" s="70">
        <v>52</v>
      </c>
      <c r="U8" s="70" t="s">
        <v>470</v>
      </c>
      <c r="V8" t="str">
        <f t="shared" ref="V8:V39" si="5">LEFT(R8,3)</f>
        <v>636</v>
      </c>
    </row>
    <row r="9" spans="1:22">
      <c r="A9" s="59" t="str">
        <f>IF(E9="","",VLOOKUP('Opći dio'!$C$3,'Opći dio'!$L$6:$U$135,10,0))</f>
        <v>08008</v>
      </c>
      <c r="B9" s="59" t="str">
        <f>IF(E9="","",VLOOKUP('Opći dio'!$C$3,'Opći dio'!$L$6:$U$135,9,0))</f>
        <v>Javni instituti</v>
      </c>
      <c r="C9" s="60">
        <f t="shared" si="0"/>
        <v>61</v>
      </c>
      <c r="D9" s="61" t="str">
        <f t="shared" si="1"/>
        <v>Donacije</v>
      </c>
      <c r="E9" s="62">
        <v>663130000</v>
      </c>
      <c r="F9" s="63" t="str">
        <f t="shared" si="2"/>
        <v>Tekuće donacije od trgovačkih društava</v>
      </c>
      <c r="G9" s="64">
        <v>10000</v>
      </c>
      <c r="H9" s="64">
        <v>12000</v>
      </c>
      <c r="I9" s="64">
        <v>14000</v>
      </c>
      <c r="K9" t="str">
        <f t="shared" si="3"/>
        <v>663</v>
      </c>
      <c r="L9" t="str">
        <f t="shared" si="4"/>
        <v>66</v>
      </c>
      <c r="M9">
        <v>43</v>
      </c>
      <c r="O9" t="s">
        <v>471</v>
      </c>
      <c r="R9" s="69">
        <v>651</v>
      </c>
      <c r="S9" s="69" t="s">
        <v>472</v>
      </c>
      <c r="T9" s="70">
        <v>43</v>
      </c>
      <c r="U9" s="70" t="s">
        <v>471</v>
      </c>
      <c r="V9" t="str">
        <f t="shared" si="5"/>
        <v>651</v>
      </c>
    </row>
    <row r="10" spans="1:22">
      <c r="A10" s="59" t="str">
        <f>IF(E10="","",VLOOKUP('Opći dio'!$C$3,'Opći dio'!$L$6:$U$135,10,0))</f>
        <v>08008</v>
      </c>
      <c r="B10" s="59" t="str">
        <f>IF(E10="","",VLOOKUP('Opći dio'!$C$3,'Opći dio'!$L$6:$U$135,9,0))</f>
        <v>Javni instituti</v>
      </c>
      <c r="C10" s="60">
        <f t="shared" si="0"/>
        <v>52</v>
      </c>
      <c r="D10" s="61" t="str">
        <f t="shared" si="1"/>
        <v>Ostale pomoći</v>
      </c>
      <c r="E10" s="62">
        <v>6391</v>
      </c>
      <c r="F10" s="63" t="str">
        <f t="shared" si="2"/>
        <v>Tekući prijenosi između proračunskih korisnika istog proračuna</v>
      </c>
      <c r="G10" s="64">
        <v>50000</v>
      </c>
      <c r="H10" s="64">
        <v>50000</v>
      </c>
      <c r="I10" s="64">
        <v>50000</v>
      </c>
      <c r="K10" t="str">
        <f t="shared" si="3"/>
        <v>639</v>
      </c>
      <c r="L10" t="str">
        <f t="shared" si="4"/>
        <v>63</v>
      </c>
      <c r="M10">
        <v>51</v>
      </c>
      <c r="O10" t="s">
        <v>473</v>
      </c>
      <c r="R10" s="70">
        <v>6341</v>
      </c>
      <c r="S10" s="70" t="s">
        <v>474</v>
      </c>
      <c r="T10" s="70">
        <v>52</v>
      </c>
      <c r="U10" s="70" t="s">
        <v>470</v>
      </c>
      <c r="V10" t="str">
        <f t="shared" si="5"/>
        <v>634</v>
      </c>
    </row>
    <row r="11" spans="1:22">
      <c r="A11" s="59" t="str">
        <f>IF(E11="","",VLOOKUP('Opći dio'!$C$3,'Opći dio'!$L$6:$U$135,10,0))</f>
        <v/>
      </c>
      <c r="B11" s="59" t="str">
        <f>IF(E11="","",VLOOKUP('Opći dio'!$C$3,'Opći dio'!$L$6:$U$135,9,0))</f>
        <v/>
      </c>
      <c r="C11" s="60" t="str">
        <f t="shared" si="0"/>
        <v/>
      </c>
      <c r="D11" s="61" t="str">
        <f t="shared" si="1"/>
        <v/>
      </c>
      <c r="E11" s="62"/>
      <c r="F11" s="63" t="str">
        <f t="shared" si="2"/>
        <v/>
      </c>
      <c r="G11" s="64"/>
      <c r="H11" s="64"/>
      <c r="I11" s="64"/>
      <c r="K11" t="str">
        <f t="shared" si="3"/>
        <v/>
      </c>
      <c r="L11" t="str">
        <f t="shared" si="4"/>
        <v/>
      </c>
      <c r="M11">
        <v>52</v>
      </c>
      <c r="O11" t="s">
        <v>470</v>
      </c>
      <c r="R11" s="70">
        <v>6342</v>
      </c>
      <c r="S11" s="70" t="s">
        <v>475</v>
      </c>
      <c r="T11" s="70">
        <v>52</v>
      </c>
      <c r="U11" s="70" t="s">
        <v>470</v>
      </c>
      <c r="V11" t="str">
        <f t="shared" si="5"/>
        <v>634</v>
      </c>
    </row>
    <row r="12" spans="1:22">
      <c r="A12" s="59" t="str">
        <f>IF(E12="","",VLOOKUP('Opći dio'!$C$3,'Opći dio'!$L$6:$U$135,10,0))</f>
        <v/>
      </c>
      <c r="B12" s="59" t="str">
        <f>IF(E12="","",VLOOKUP('Opći dio'!$C$3,'Opći dio'!$L$6:$U$135,9,0))</f>
        <v/>
      </c>
      <c r="C12" s="60" t="str">
        <f t="shared" si="0"/>
        <v/>
      </c>
      <c r="D12" s="61" t="str">
        <f t="shared" si="1"/>
        <v/>
      </c>
      <c r="E12" s="62"/>
      <c r="F12" s="63" t="str">
        <f t="shared" si="2"/>
        <v/>
      </c>
      <c r="G12" s="64"/>
      <c r="H12" s="64"/>
      <c r="I12" s="64"/>
      <c r="K12" t="str">
        <f t="shared" si="3"/>
        <v/>
      </c>
      <c r="L12" t="str">
        <f t="shared" si="4"/>
        <v/>
      </c>
      <c r="M12">
        <v>61</v>
      </c>
      <c r="O12" t="s">
        <v>476</v>
      </c>
      <c r="R12" s="71">
        <v>6381</v>
      </c>
      <c r="S12" s="71" t="s">
        <v>477</v>
      </c>
      <c r="T12" s="71">
        <v>52</v>
      </c>
      <c r="U12" s="71" t="s">
        <v>470</v>
      </c>
      <c r="V12" s="72" t="str">
        <f t="shared" si="5"/>
        <v>638</v>
      </c>
    </row>
    <row r="13" spans="1:22">
      <c r="A13" s="59" t="str">
        <f>IF(E13="","",VLOOKUP('Opći dio'!$C$3,'Opći dio'!$L$6:$U$135,10,0))</f>
        <v/>
      </c>
      <c r="B13" s="59" t="str">
        <f>IF(E13="","",VLOOKUP('Opći dio'!$C$3,'Opći dio'!$L$6:$U$135,9,0))</f>
        <v/>
      </c>
      <c r="C13" s="60" t="str">
        <f t="shared" si="0"/>
        <v/>
      </c>
      <c r="D13" s="61" t="str">
        <f t="shared" si="1"/>
        <v/>
      </c>
      <c r="E13" s="62"/>
      <c r="F13" s="63" t="str">
        <f t="shared" si="2"/>
        <v/>
      </c>
      <c r="G13" s="64"/>
      <c r="H13" s="64"/>
      <c r="I13" s="64"/>
      <c r="K13" t="str">
        <f t="shared" si="3"/>
        <v/>
      </c>
      <c r="L13" t="str">
        <f t="shared" si="4"/>
        <v/>
      </c>
      <c r="M13">
        <v>71</v>
      </c>
      <c r="O13" t="s">
        <v>478</v>
      </c>
      <c r="R13" s="71">
        <v>6382</v>
      </c>
      <c r="S13" s="71" t="s">
        <v>479</v>
      </c>
      <c r="T13" s="71">
        <v>52</v>
      </c>
      <c r="U13" s="71" t="s">
        <v>470</v>
      </c>
      <c r="V13" s="72" t="str">
        <f t="shared" si="5"/>
        <v>638</v>
      </c>
    </row>
    <row r="14" spans="1:22">
      <c r="A14" s="59" t="str">
        <f>IF(E14="","",VLOOKUP('Opći dio'!$C$3,'Opći dio'!$L$6:$U$135,10,0))</f>
        <v/>
      </c>
      <c r="B14" s="59" t="str">
        <f>IF(E14="","",VLOOKUP('Opći dio'!$C$3,'Opći dio'!$L$6:$U$135,9,0))</f>
        <v/>
      </c>
      <c r="C14" s="60" t="str">
        <f t="shared" si="0"/>
        <v/>
      </c>
      <c r="D14" s="61" t="str">
        <f t="shared" si="1"/>
        <v/>
      </c>
      <c r="E14" s="62"/>
      <c r="F14" s="63" t="str">
        <f t="shared" si="2"/>
        <v/>
      </c>
      <c r="G14" s="64"/>
      <c r="H14" s="64"/>
      <c r="I14" s="64"/>
      <c r="K14" t="str">
        <f t="shared" si="3"/>
        <v/>
      </c>
      <c r="L14" t="str">
        <f t="shared" si="4"/>
        <v/>
      </c>
      <c r="M14">
        <v>81</v>
      </c>
      <c r="O14" t="s">
        <v>480</v>
      </c>
      <c r="R14" s="70">
        <v>6361</v>
      </c>
      <c r="S14" s="70" t="s">
        <v>481</v>
      </c>
      <c r="T14" s="70">
        <v>52</v>
      </c>
      <c r="U14" s="70" t="s">
        <v>470</v>
      </c>
      <c r="V14" t="str">
        <f t="shared" si="5"/>
        <v>636</v>
      </c>
    </row>
    <row r="15" spans="1:22">
      <c r="A15" s="59" t="str">
        <f>IF(E15="","",VLOOKUP('Opći dio'!$C$3,'Opći dio'!$L$6:$U$135,10,0))</f>
        <v/>
      </c>
      <c r="B15" s="59" t="str">
        <f>IF(E15="","",VLOOKUP('Opći dio'!$C$3,'Opći dio'!$L$6:$U$135,9,0))</f>
        <v/>
      </c>
      <c r="C15" s="60" t="str">
        <f t="shared" si="0"/>
        <v/>
      </c>
      <c r="D15" s="61" t="str">
        <f t="shared" si="1"/>
        <v/>
      </c>
      <c r="E15" s="62"/>
      <c r="F15" s="63" t="str">
        <f t="shared" si="2"/>
        <v/>
      </c>
      <c r="G15" s="64"/>
      <c r="H15" s="64"/>
      <c r="I15" s="64"/>
      <c r="K15" t="str">
        <f t="shared" si="3"/>
        <v/>
      </c>
      <c r="L15" t="str">
        <f t="shared" si="4"/>
        <v/>
      </c>
      <c r="M15">
        <v>561</v>
      </c>
      <c r="O15" t="s">
        <v>482</v>
      </c>
      <c r="R15" s="70">
        <v>6362</v>
      </c>
      <c r="S15" s="70" t="s">
        <v>483</v>
      </c>
      <c r="T15" s="70">
        <v>52</v>
      </c>
      <c r="U15" s="70" t="s">
        <v>470</v>
      </c>
      <c r="V15" t="str">
        <f t="shared" si="5"/>
        <v>636</v>
      </c>
    </row>
    <row r="16" spans="1:22">
      <c r="A16" s="59" t="str">
        <f>IF(E16="","",VLOOKUP('Opći dio'!$C$3,'Opći dio'!$L$6:$U$135,10,0))</f>
        <v/>
      </c>
      <c r="B16" s="59" t="str">
        <f>IF(E16="","",VLOOKUP('Opći dio'!$C$3,'Opći dio'!$L$6:$U$135,9,0))</f>
        <v/>
      </c>
      <c r="C16" s="60" t="str">
        <f t="shared" si="0"/>
        <v/>
      </c>
      <c r="D16" s="61" t="str">
        <f t="shared" si="1"/>
        <v/>
      </c>
      <c r="E16" s="62"/>
      <c r="F16" s="63" t="str">
        <f t="shared" si="2"/>
        <v/>
      </c>
      <c r="G16" s="64"/>
      <c r="H16" s="64"/>
      <c r="I16" s="64"/>
      <c r="K16" t="str">
        <f t="shared" si="3"/>
        <v/>
      </c>
      <c r="L16" t="str">
        <f t="shared" si="4"/>
        <v/>
      </c>
      <c r="M16">
        <v>563</v>
      </c>
      <c r="O16" t="s">
        <v>484</v>
      </c>
      <c r="R16" s="70">
        <v>6391</v>
      </c>
      <c r="S16" s="70" t="s">
        <v>485</v>
      </c>
      <c r="T16" s="70">
        <v>52</v>
      </c>
      <c r="U16" s="70" t="s">
        <v>470</v>
      </c>
      <c r="V16" t="str">
        <f t="shared" si="5"/>
        <v>639</v>
      </c>
    </row>
    <row r="17" spans="1:22">
      <c r="A17" s="59" t="str">
        <f>IF(E17="","",VLOOKUP('Opći dio'!$C$3,'Opći dio'!$L$6:$U$135,10,0))</f>
        <v/>
      </c>
      <c r="B17" s="59" t="str">
        <f>IF(E17="","",VLOOKUP('Opći dio'!$C$3,'Opći dio'!$L$6:$U$135,9,0))</f>
        <v/>
      </c>
      <c r="C17" s="60" t="str">
        <f t="shared" si="0"/>
        <v/>
      </c>
      <c r="D17" s="61" t="str">
        <f t="shared" si="1"/>
        <v/>
      </c>
      <c r="E17" s="62"/>
      <c r="F17" s="63" t="str">
        <f t="shared" si="2"/>
        <v/>
      </c>
      <c r="G17" s="64"/>
      <c r="H17" s="64"/>
      <c r="I17" s="64"/>
      <c r="K17" t="str">
        <f t="shared" si="3"/>
        <v/>
      </c>
      <c r="L17" t="str">
        <f t="shared" si="4"/>
        <v/>
      </c>
      <c r="R17" s="70">
        <v>6392</v>
      </c>
      <c r="S17" s="70" t="s">
        <v>486</v>
      </c>
      <c r="T17" s="70">
        <v>52</v>
      </c>
      <c r="U17" s="70" t="s">
        <v>470</v>
      </c>
      <c r="V17" t="str">
        <f t="shared" si="5"/>
        <v>639</v>
      </c>
    </row>
    <row r="18" spans="1:22">
      <c r="A18" s="59" t="str">
        <f>IF(E18="","",VLOOKUP('Opći dio'!$C$3,'Opći dio'!$L$6:$U$135,10,0))</f>
        <v/>
      </c>
      <c r="B18" s="59" t="str">
        <f>IF(E18="","",VLOOKUP('Opći dio'!$C$3,'Opći dio'!$L$6:$U$135,9,0))</f>
        <v/>
      </c>
      <c r="C18" s="60" t="str">
        <f t="shared" si="0"/>
        <v/>
      </c>
      <c r="D18" s="61" t="str">
        <f t="shared" si="1"/>
        <v/>
      </c>
      <c r="E18" s="73"/>
      <c r="F18" s="63" t="str">
        <f t="shared" si="2"/>
        <v/>
      </c>
      <c r="G18" s="64"/>
      <c r="H18" s="64"/>
      <c r="I18" s="64"/>
      <c r="K18" t="str">
        <f t="shared" si="3"/>
        <v/>
      </c>
      <c r="L18" t="str">
        <f t="shared" si="4"/>
        <v/>
      </c>
      <c r="R18" s="70">
        <v>6393</v>
      </c>
      <c r="S18" s="70" t="s">
        <v>487</v>
      </c>
      <c r="T18" s="70">
        <v>52</v>
      </c>
      <c r="U18" s="70" t="s">
        <v>470</v>
      </c>
      <c r="V18" t="str">
        <f t="shared" si="5"/>
        <v>639</v>
      </c>
    </row>
    <row r="19" spans="1:22">
      <c r="A19" s="59" t="str">
        <f>IF(E19="","",VLOOKUP('Opći dio'!$C$3,'Opći dio'!$L$6:$U$135,10,0))</f>
        <v/>
      </c>
      <c r="B19" s="59" t="str">
        <f>IF(E19="","",VLOOKUP('Opći dio'!$C$3,'Opći dio'!$L$6:$U$135,9,0))</f>
        <v/>
      </c>
      <c r="C19" s="60" t="str">
        <f t="shared" si="0"/>
        <v/>
      </c>
      <c r="D19" s="61" t="str">
        <f t="shared" si="1"/>
        <v/>
      </c>
      <c r="E19" s="73"/>
      <c r="F19" s="63" t="str">
        <f t="shared" si="2"/>
        <v/>
      </c>
      <c r="G19" s="64"/>
      <c r="H19" s="64"/>
      <c r="I19" s="64"/>
      <c r="K19" t="str">
        <f t="shared" si="3"/>
        <v/>
      </c>
      <c r="L19" t="str">
        <f t="shared" si="4"/>
        <v/>
      </c>
      <c r="R19" s="70">
        <v>6394</v>
      </c>
      <c r="S19" s="70" t="s">
        <v>488</v>
      </c>
      <c r="T19" s="70">
        <v>52</v>
      </c>
      <c r="U19" s="70" t="s">
        <v>470</v>
      </c>
      <c r="V19" t="str">
        <f t="shared" si="5"/>
        <v>639</v>
      </c>
    </row>
    <row r="20" spans="1:22">
      <c r="A20" s="59" t="str">
        <f>IF(E20="","",VLOOKUP('Opći dio'!$C$3,'Opći dio'!$L$6:$U$135,10,0))</f>
        <v/>
      </c>
      <c r="B20" s="59" t="str">
        <f>IF(E20="","",VLOOKUP('Opći dio'!$C$3,'Opći dio'!$L$6:$U$135,9,0))</f>
        <v/>
      </c>
      <c r="C20" s="60" t="str">
        <f t="shared" si="0"/>
        <v/>
      </c>
      <c r="D20" s="61" t="str">
        <f t="shared" si="1"/>
        <v/>
      </c>
      <c r="E20" s="62"/>
      <c r="F20" s="63" t="str">
        <f t="shared" si="2"/>
        <v/>
      </c>
      <c r="G20" s="64"/>
      <c r="H20" s="64"/>
      <c r="I20" s="64"/>
      <c r="K20" t="str">
        <f t="shared" si="3"/>
        <v/>
      </c>
      <c r="L20" t="str">
        <f t="shared" si="4"/>
        <v/>
      </c>
      <c r="R20" s="70">
        <v>6614</v>
      </c>
      <c r="S20" s="70" t="s">
        <v>489</v>
      </c>
      <c r="T20" s="70">
        <v>31</v>
      </c>
      <c r="U20" s="70" t="s">
        <v>468</v>
      </c>
      <c r="V20" t="str">
        <f t="shared" si="5"/>
        <v>661</v>
      </c>
    </row>
    <row r="21" spans="1:22">
      <c r="A21" s="59" t="str">
        <f>IF(E21="","",VLOOKUP('Opći dio'!$C$3,'Opći dio'!$L$6:$U$135,10,0))</f>
        <v/>
      </c>
      <c r="B21" s="59" t="str">
        <f>IF(E21="","",VLOOKUP('Opći dio'!$C$3,'Opći dio'!$L$6:$U$135,9,0))</f>
        <v/>
      </c>
      <c r="C21" s="60" t="str">
        <f t="shared" si="0"/>
        <v/>
      </c>
      <c r="D21" s="61" t="str">
        <f t="shared" si="1"/>
        <v/>
      </c>
      <c r="E21" s="62"/>
      <c r="F21" s="63" t="str">
        <f t="shared" si="2"/>
        <v/>
      </c>
      <c r="G21" s="64"/>
      <c r="H21" s="64"/>
      <c r="I21" s="64"/>
      <c r="K21" t="str">
        <f t="shared" si="3"/>
        <v/>
      </c>
      <c r="L21" t="str">
        <f t="shared" si="4"/>
        <v/>
      </c>
      <c r="R21" s="70">
        <v>6615</v>
      </c>
      <c r="S21" s="70" t="s">
        <v>490</v>
      </c>
      <c r="T21" s="70">
        <v>31</v>
      </c>
      <c r="U21" s="70" t="s">
        <v>468</v>
      </c>
      <c r="V21" t="str">
        <f t="shared" si="5"/>
        <v>661</v>
      </c>
    </row>
    <row r="22" spans="1:22">
      <c r="A22" s="59" t="str">
        <f>IF(E22="","",VLOOKUP('Opći dio'!$C$3,'Opći dio'!$L$6:$U$135,10,0))</f>
        <v/>
      </c>
      <c r="B22" s="59" t="str">
        <f>IF(E22="","",VLOOKUP('Opći dio'!$C$3,'Opći dio'!$L$6:$U$135,9,0))</f>
        <v/>
      </c>
      <c r="C22" s="60" t="str">
        <f t="shared" si="0"/>
        <v/>
      </c>
      <c r="D22" s="61" t="str">
        <f t="shared" si="1"/>
        <v/>
      </c>
      <c r="E22" s="62"/>
      <c r="F22" s="63" t="str">
        <f t="shared" si="2"/>
        <v/>
      </c>
      <c r="G22" s="64"/>
      <c r="H22" s="64"/>
      <c r="I22" s="64"/>
      <c r="K22" t="str">
        <f t="shared" si="3"/>
        <v/>
      </c>
      <c r="L22" t="str">
        <f t="shared" si="4"/>
        <v/>
      </c>
      <c r="R22" s="70">
        <v>65148</v>
      </c>
      <c r="S22" s="70" t="s">
        <v>491</v>
      </c>
      <c r="T22" s="70">
        <v>43</v>
      </c>
      <c r="U22" s="70" t="s">
        <v>471</v>
      </c>
      <c r="V22" t="str">
        <f t="shared" si="5"/>
        <v>651</v>
      </c>
    </row>
    <row r="23" spans="1:22">
      <c r="A23" s="59" t="str">
        <f>IF(E23="","",VLOOKUP('Opći dio'!$C$3,'Opći dio'!$L$6:$U$135,10,0))</f>
        <v/>
      </c>
      <c r="B23" s="59" t="str">
        <f>IF(E23="","",VLOOKUP('Opći dio'!$C$3,'Opći dio'!$L$6:$U$135,9,0))</f>
        <v/>
      </c>
      <c r="C23" s="60" t="str">
        <f t="shared" si="0"/>
        <v/>
      </c>
      <c r="D23" s="61" t="str">
        <f t="shared" si="1"/>
        <v/>
      </c>
      <c r="E23" s="62"/>
      <c r="F23" s="63" t="str">
        <f t="shared" si="2"/>
        <v/>
      </c>
      <c r="G23" s="64"/>
      <c r="H23" s="64"/>
      <c r="I23" s="64"/>
      <c r="K23" t="str">
        <f t="shared" si="3"/>
        <v/>
      </c>
      <c r="L23" t="str">
        <f t="shared" si="4"/>
        <v/>
      </c>
      <c r="R23" s="70">
        <v>65218</v>
      </c>
      <c r="S23" s="70" t="s">
        <v>492</v>
      </c>
      <c r="T23" s="70">
        <v>43</v>
      </c>
      <c r="U23" s="70" t="s">
        <v>471</v>
      </c>
      <c r="V23" t="str">
        <f t="shared" si="5"/>
        <v>652</v>
      </c>
    </row>
    <row r="24" spans="1:22">
      <c r="A24" s="59" t="str">
        <f>IF(E24="","",VLOOKUP('Opći dio'!$C$3,'Opći dio'!$L$6:$U$135,10,0))</f>
        <v/>
      </c>
      <c r="B24" s="59" t="str">
        <f>IF(E24="","",VLOOKUP('Opći dio'!$C$3,'Opći dio'!$L$6:$U$135,9,0))</f>
        <v/>
      </c>
      <c r="C24" s="60" t="str">
        <f t="shared" si="0"/>
        <v/>
      </c>
      <c r="D24" s="61" t="str">
        <f t="shared" si="1"/>
        <v/>
      </c>
      <c r="E24" s="62"/>
      <c r="F24" s="63" t="str">
        <f t="shared" si="2"/>
        <v/>
      </c>
      <c r="G24" s="64"/>
      <c r="H24" s="64"/>
      <c r="I24" s="64"/>
      <c r="K24" t="str">
        <f t="shared" si="3"/>
        <v/>
      </c>
      <c r="L24" t="str">
        <f t="shared" si="4"/>
        <v/>
      </c>
      <c r="R24" s="70">
        <v>65264</v>
      </c>
      <c r="S24" s="70" t="s">
        <v>493</v>
      </c>
      <c r="T24" s="70">
        <v>43</v>
      </c>
      <c r="U24" s="70" t="s">
        <v>471</v>
      </c>
      <c r="V24" t="str">
        <f t="shared" si="5"/>
        <v>652</v>
      </c>
    </row>
    <row r="25" spans="1:22">
      <c r="A25" s="59" t="str">
        <f>IF(E25="","",VLOOKUP('Opći dio'!$C$3,'Opći dio'!$L$6:$U$135,10,0))</f>
        <v/>
      </c>
      <c r="B25" s="59" t="str">
        <f>IF(E25="","",VLOOKUP('Opći dio'!$C$3,'Opći dio'!$L$6:$U$135,9,0))</f>
        <v/>
      </c>
      <c r="C25" s="60" t="str">
        <f t="shared" si="0"/>
        <v/>
      </c>
      <c r="D25" s="61" t="str">
        <f t="shared" si="1"/>
        <v/>
      </c>
      <c r="E25" s="62"/>
      <c r="F25" s="63" t="str">
        <f t="shared" si="2"/>
        <v/>
      </c>
      <c r="G25" s="64"/>
      <c r="H25" s="64"/>
      <c r="I25" s="64"/>
      <c r="K25" t="str">
        <f t="shared" si="3"/>
        <v/>
      </c>
      <c r="L25" t="str">
        <f t="shared" si="4"/>
        <v/>
      </c>
      <c r="R25" s="70">
        <v>65268</v>
      </c>
      <c r="S25" s="70" t="s">
        <v>471</v>
      </c>
      <c r="T25" s="70">
        <v>43</v>
      </c>
      <c r="U25" s="70" t="s">
        <v>471</v>
      </c>
      <c r="V25" t="str">
        <f t="shared" si="5"/>
        <v>652</v>
      </c>
    </row>
    <row r="26" spans="1:22">
      <c r="A26" s="59" t="str">
        <f>IF(E26="","",VLOOKUP('Opći dio'!$C$3,'Opći dio'!$L$6:$U$135,10,0))</f>
        <v/>
      </c>
      <c r="B26" s="59" t="str">
        <f>IF(E26="","",VLOOKUP('Opći dio'!$C$3,'Opći dio'!$L$6:$U$135,9,0))</f>
        <v/>
      </c>
      <c r="C26" s="60" t="str">
        <f t="shared" si="0"/>
        <v/>
      </c>
      <c r="D26" s="61" t="str">
        <f t="shared" si="1"/>
        <v/>
      </c>
      <c r="E26" s="62"/>
      <c r="F26" s="63" t="str">
        <f t="shared" si="2"/>
        <v/>
      </c>
      <c r="G26" s="64"/>
      <c r="H26" s="64"/>
      <c r="I26" s="64"/>
      <c r="K26" t="str">
        <f t="shared" si="3"/>
        <v/>
      </c>
      <c r="L26" t="str">
        <f t="shared" si="4"/>
        <v/>
      </c>
      <c r="R26" s="70">
        <v>631110000</v>
      </c>
      <c r="S26" s="70" t="s">
        <v>494</v>
      </c>
      <c r="T26" s="70">
        <v>52</v>
      </c>
      <c r="U26" s="70" t="s">
        <v>470</v>
      </c>
      <c r="V26" t="str">
        <f t="shared" si="5"/>
        <v>631</v>
      </c>
    </row>
    <row r="27" spans="1:22">
      <c r="A27" s="59" t="str">
        <f>IF(E27="","",VLOOKUP('Opći dio'!$C$3,'Opći dio'!$L$6:$U$135,10,0))</f>
        <v/>
      </c>
      <c r="B27" s="59" t="str">
        <f>IF(E27="","",VLOOKUP('Opći dio'!$C$3,'Opći dio'!$L$6:$U$135,9,0))</f>
        <v/>
      </c>
      <c r="C27" s="60" t="str">
        <f t="shared" si="0"/>
        <v/>
      </c>
      <c r="D27" s="61" t="str">
        <f t="shared" si="1"/>
        <v/>
      </c>
      <c r="E27" s="62"/>
      <c r="F27" s="63" t="str">
        <f t="shared" si="2"/>
        <v/>
      </c>
      <c r="G27" s="64"/>
      <c r="H27" s="64"/>
      <c r="I27" s="64"/>
      <c r="K27" t="str">
        <f t="shared" si="3"/>
        <v/>
      </c>
      <c r="L27" t="str">
        <f t="shared" si="4"/>
        <v/>
      </c>
      <c r="R27" s="70">
        <v>631120000</v>
      </c>
      <c r="S27" s="70" t="s">
        <v>495</v>
      </c>
      <c r="T27" s="70">
        <v>52</v>
      </c>
      <c r="U27" s="70" t="s">
        <v>470</v>
      </c>
      <c r="V27" t="str">
        <f t="shared" si="5"/>
        <v>631</v>
      </c>
    </row>
    <row r="28" spans="1:22">
      <c r="A28" s="59" t="str">
        <f>IF(E28="","",VLOOKUP('Opći dio'!$C$3,'Opći dio'!$L$6:$U$135,10,0))</f>
        <v/>
      </c>
      <c r="B28" s="59" t="str">
        <f>IF(E28="","",VLOOKUP('Opći dio'!$C$3,'Opći dio'!$L$6:$U$135,9,0))</f>
        <v/>
      </c>
      <c r="C28" s="60" t="str">
        <f t="shared" si="0"/>
        <v/>
      </c>
      <c r="D28" s="61" t="str">
        <f t="shared" si="1"/>
        <v/>
      </c>
      <c r="E28" s="62"/>
      <c r="F28" s="63" t="str">
        <f t="shared" si="2"/>
        <v/>
      </c>
      <c r="G28" s="64"/>
      <c r="H28" s="64"/>
      <c r="I28" s="64"/>
      <c r="K28" t="str">
        <f t="shared" si="3"/>
        <v/>
      </c>
      <c r="L28" t="str">
        <f t="shared" si="4"/>
        <v/>
      </c>
      <c r="R28" s="70">
        <v>631210000</v>
      </c>
      <c r="S28" s="70" t="s">
        <v>496</v>
      </c>
      <c r="T28" s="70">
        <v>52</v>
      </c>
      <c r="U28" s="70" t="s">
        <v>470</v>
      </c>
      <c r="V28" t="str">
        <f t="shared" si="5"/>
        <v>631</v>
      </c>
    </row>
    <row r="29" spans="1:22">
      <c r="A29" s="59" t="str">
        <f>IF(E29="","",VLOOKUP('Opći dio'!$C$3,'Opći dio'!$L$6:$U$135,10,0))</f>
        <v/>
      </c>
      <c r="B29" s="59" t="str">
        <f>IF(E29="","",VLOOKUP('Opći dio'!$C$3,'Opći dio'!$L$6:$U$135,9,0))</f>
        <v/>
      </c>
      <c r="C29" s="60" t="str">
        <f t="shared" si="0"/>
        <v/>
      </c>
      <c r="D29" s="61" t="str">
        <f t="shared" si="1"/>
        <v/>
      </c>
      <c r="E29" s="62"/>
      <c r="F29" s="63" t="str">
        <f t="shared" si="2"/>
        <v/>
      </c>
      <c r="G29" s="64"/>
      <c r="H29" s="64"/>
      <c r="I29" s="64"/>
      <c r="K29" t="str">
        <f t="shared" si="3"/>
        <v/>
      </c>
      <c r="L29" t="str">
        <f t="shared" si="4"/>
        <v/>
      </c>
      <c r="R29" s="70">
        <v>631220000</v>
      </c>
      <c r="S29" s="70" t="s">
        <v>497</v>
      </c>
      <c r="T29" s="70">
        <v>52</v>
      </c>
      <c r="U29" s="70" t="s">
        <v>470</v>
      </c>
      <c r="V29" t="str">
        <f t="shared" si="5"/>
        <v>631</v>
      </c>
    </row>
    <row r="30" spans="1:22">
      <c r="A30" s="59" t="str">
        <f>IF(E30="","",VLOOKUP('Opći dio'!$C$3,'Opći dio'!$L$6:$U$135,10,0))</f>
        <v/>
      </c>
      <c r="B30" s="59" t="str">
        <f>IF(E30="","",VLOOKUP('Opći dio'!$C$3,'Opći dio'!$L$6:$U$135,9,0))</f>
        <v/>
      </c>
      <c r="C30" s="60" t="str">
        <f t="shared" si="0"/>
        <v/>
      </c>
      <c r="D30" s="61" t="str">
        <f t="shared" si="1"/>
        <v/>
      </c>
      <c r="E30" s="62"/>
      <c r="F30" s="63" t="str">
        <f t="shared" si="2"/>
        <v/>
      </c>
      <c r="G30" s="64"/>
      <c r="H30" s="64"/>
      <c r="I30" s="64"/>
      <c r="K30" t="str">
        <f t="shared" si="3"/>
        <v/>
      </c>
      <c r="L30" t="str">
        <f t="shared" si="4"/>
        <v/>
      </c>
      <c r="R30" s="70">
        <v>632112000</v>
      </c>
      <c r="S30" s="70" t="s">
        <v>498</v>
      </c>
      <c r="T30" s="70">
        <v>52</v>
      </c>
      <c r="U30" s="70" t="s">
        <v>470</v>
      </c>
      <c r="V30" t="str">
        <f t="shared" si="5"/>
        <v>632</v>
      </c>
    </row>
    <row r="31" spans="1:22">
      <c r="A31" s="59" t="str">
        <f>IF(E31="","",VLOOKUP('Opći dio'!$C$3,'Opći dio'!$L$6:$U$135,10,0))</f>
        <v/>
      </c>
      <c r="B31" s="59" t="str">
        <f>IF(E31="","",VLOOKUP('Opći dio'!$C$3,'Opći dio'!$L$6:$U$135,9,0))</f>
        <v/>
      </c>
      <c r="C31" s="60" t="str">
        <f t="shared" si="0"/>
        <v/>
      </c>
      <c r="D31" s="61" t="str">
        <f t="shared" si="1"/>
        <v/>
      </c>
      <c r="E31" s="62"/>
      <c r="F31" s="63" t="str">
        <f t="shared" si="2"/>
        <v/>
      </c>
      <c r="G31" s="64"/>
      <c r="H31" s="64"/>
      <c r="I31" s="64"/>
      <c r="K31" t="str">
        <f t="shared" si="3"/>
        <v/>
      </c>
      <c r="L31" t="str">
        <f t="shared" si="4"/>
        <v/>
      </c>
      <c r="R31" s="70">
        <v>632212000</v>
      </c>
      <c r="S31" s="70" t="s">
        <v>499</v>
      </c>
      <c r="T31" s="70">
        <v>52</v>
      </c>
      <c r="U31" s="70" t="s">
        <v>470</v>
      </c>
      <c r="V31" t="str">
        <f t="shared" si="5"/>
        <v>632</v>
      </c>
    </row>
    <row r="32" spans="1:22">
      <c r="A32" s="59" t="str">
        <f>IF(E32="","",VLOOKUP('Opći dio'!$C$3,'Opći dio'!$L$6:$U$135,10,0))</f>
        <v/>
      </c>
      <c r="B32" s="59" t="str">
        <f>IF(E32="","",VLOOKUP('Opći dio'!$C$3,'Opći dio'!$L$6:$U$135,9,0))</f>
        <v/>
      </c>
      <c r="C32" s="60" t="str">
        <f t="shared" si="0"/>
        <v/>
      </c>
      <c r="D32" s="61" t="str">
        <f t="shared" si="1"/>
        <v/>
      </c>
      <c r="E32" s="62"/>
      <c r="F32" s="63" t="str">
        <f t="shared" si="2"/>
        <v/>
      </c>
      <c r="G32" s="64"/>
      <c r="H32" s="64"/>
      <c r="I32" s="64"/>
      <c r="K32" t="str">
        <f t="shared" si="3"/>
        <v/>
      </c>
      <c r="L32" t="str">
        <f t="shared" si="4"/>
        <v/>
      </c>
      <c r="R32" s="70">
        <v>632310561</v>
      </c>
      <c r="S32" s="70" t="s">
        <v>500</v>
      </c>
      <c r="T32" s="70">
        <v>561</v>
      </c>
      <c r="U32" s="70" t="s">
        <v>482</v>
      </c>
      <c r="V32" t="str">
        <f t="shared" si="5"/>
        <v>632</v>
      </c>
    </row>
    <row r="33" spans="1:22">
      <c r="A33" s="59" t="str">
        <f>IF(E33="","",VLOOKUP('Opći dio'!$C$3,'Opći dio'!$L$6:$U$135,10,0))</f>
        <v/>
      </c>
      <c r="B33" s="59" t="str">
        <f>IF(E33="","",VLOOKUP('Opći dio'!$C$3,'Opći dio'!$L$6:$U$135,9,0))</f>
        <v/>
      </c>
      <c r="C33" s="60" t="str">
        <f t="shared" si="0"/>
        <v/>
      </c>
      <c r="D33" s="61" t="str">
        <f t="shared" si="1"/>
        <v/>
      </c>
      <c r="E33" s="62"/>
      <c r="F33" s="63" t="str">
        <f t="shared" si="2"/>
        <v/>
      </c>
      <c r="G33" s="64"/>
      <c r="H33" s="64"/>
      <c r="I33" s="64"/>
      <c r="K33" t="str">
        <f t="shared" si="3"/>
        <v/>
      </c>
      <c r="L33" t="str">
        <f t="shared" si="4"/>
        <v/>
      </c>
      <c r="R33" s="70">
        <v>632310563</v>
      </c>
      <c r="S33" s="70" t="s">
        <v>501</v>
      </c>
      <c r="T33" s="70">
        <v>563</v>
      </c>
      <c r="U33" s="70" t="s">
        <v>484</v>
      </c>
      <c r="V33" t="str">
        <f t="shared" si="5"/>
        <v>632</v>
      </c>
    </row>
    <row r="34" spans="1:22">
      <c r="A34" s="59" t="str">
        <f>IF(E34="","",VLOOKUP('Opći dio'!$C$3,'Opći dio'!$L$6:$U$135,10,0))</f>
        <v/>
      </c>
      <c r="B34" s="59" t="str">
        <f>IF(E34="","",VLOOKUP('Opći dio'!$C$3,'Opći dio'!$L$6:$U$135,9,0))</f>
        <v/>
      </c>
      <c r="C34" s="60" t="str">
        <f t="shared" si="0"/>
        <v/>
      </c>
      <c r="D34" s="61" t="str">
        <f t="shared" si="1"/>
        <v/>
      </c>
      <c r="E34" s="62"/>
      <c r="F34" s="63" t="str">
        <f t="shared" si="2"/>
        <v/>
      </c>
      <c r="G34" s="64"/>
      <c r="H34" s="64"/>
      <c r="I34" s="64"/>
      <c r="K34" t="str">
        <f t="shared" si="3"/>
        <v/>
      </c>
      <c r="L34" t="str">
        <f t="shared" si="4"/>
        <v/>
      </c>
      <c r="R34" s="70">
        <v>632311500</v>
      </c>
      <c r="S34" s="70" t="s">
        <v>502</v>
      </c>
      <c r="T34" s="70">
        <v>51</v>
      </c>
      <c r="U34" s="70" t="s">
        <v>473</v>
      </c>
      <c r="V34" t="str">
        <f t="shared" si="5"/>
        <v>632</v>
      </c>
    </row>
    <row r="35" spans="1:22">
      <c r="A35" s="59" t="str">
        <f>IF(E35="","",VLOOKUP('Opći dio'!$C$3,'Opći dio'!$L$6:$U$135,10,0))</f>
        <v/>
      </c>
      <c r="B35" s="59" t="str">
        <f>IF(E35="","",VLOOKUP('Opći dio'!$C$3,'Opći dio'!$L$6:$U$135,9,0))</f>
        <v/>
      </c>
      <c r="C35" s="60" t="str">
        <f t="shared" si="0"/>
        <v/>
      </c>
      <c r="D35" s="61" t="str">
        <f t="shared" si="1"/>
        <v/>
      </c>
      <c r="E35" s="62"/>
      <c r="F35" s="63" t="str">
        <f t="shared" si="2"/>
        <v/>
      </c>
      <c r="G35" s="64"/>
      <c r="H35" s="64"/>
      <c r="I35" s="64"/>
      <c r="K35" t="str">
        <f t="shared" si="3"/>
        <v/>
      </c>
      <c r="L35" t="str">
        <f t="shared" si="4"/>
        <v/>
      </c>
      <c r="R35" s="70">
        <v>632311600</v>
      </c>
      <c r="S35" s="70" t="s">
        <v>503</v>
      </c>
      <c r="T35" s="70">
        <v>51</v>
      </c>
      <c r="U35" s="70" t="s">
        <v>473</v>
      </c>
      <c r="V35" t="str">
        <f t="shared" si="5"/>
        <v>632</v>
      </c>
    </row>
    <row r="36" spans="1:22">
      <c r="A36" s="59" t="str">
        <f>IF(E36="","",VLOOKUP('Opći dio'!$C$3,'Opći dio'!$L$6:$U$135,10,0))</f>
        <v/>
      </c>
      <c r="B36" s="59" t="str">
        <f>IF(E36="","",VLOOKUP('Opći dio'!$C$3,'Opći dio'!$L$6:$U$135,9,0))</f>
        <v/>
      </c>
      <c r="C36" s="60" t="str">
        <f t="shared" si="0"/>
        <v/>
      </c>
      <c r="D36" s="61" t="str">
        <f t="shared" si="1"/>
        <v/>
      </c>
      <c r="E36" s="62"/>
      <c r="F36" s="63" t="str">
        <f t="shared" si="2"/>
        <v/>
      </c>
      <c r="G36" s="64"/>
      <c r="H36" s="64"/>
      <c r="I36" s="64"/>
      <c r="K36" t="str">
        <f t="shared" si="3"/>
        <v/>
      </c>
      <c r="L36" t="str">
        <f t="shared" si="4"/>
        <v/>
      </c>
      <c r="R36" s="70">
        <v>632311700</v>
      </c>
      <c r="S36" s="70" t="s">
        <v>504</v>
      </c>
      <c r="T36" s="70">
        <v>51</v>
      </c>
      <c r="U36" s="70" t="s">
        <v>473</v>
      </c>
      <c r="V36" t="str">
        <f t="shared" si="5"/>
        <v>632</v>
      </c>
    </row>
    <row r="37" spans="1:22">
      <c r="A37" s="59" t="str">
        <f>IF(E37="","",VLOOKUP('Opći dio'!$C$3,'Opći dio'!$L$6:$U$135,10,0))</f>
        <v/>
      </c>
      <c r="B37" s="59" t="str">
        <f>IF(E37="","",VLOOKUP('Opći dio'!$C$3,'Opći dio'!$L$6:$U$135,9,0))</f>
        <v/>
      </c>
      <c r="C37" s="60" t="str">
        <f t="shared" si="0"/>
        <v/>
      </c>
      <c r="D37" s="61" t="str">
        <f t="shared" si="1"/>
        <v/>
      </c>
      <c r="E37" s="62"/>
      <c r="F37" s="63" t="str">
        <f t="shared" si="2"/>
        <v/>
      </c>
      <c r="G37" s="64"/>
      <c r="H37" s="64"/>
      <c r="I37" s="64"/>
      <c r="K37" t="str">
        <f t="shared" si="3"/>
        <v/>
      </c>
      <c r="L37" t="str">
        <f t="shared" si="4"/>
        <v/>
      </c>
      <c r="R37" s="70">
        <v>632311800</v>
      </c>
      <c r="S37" s="70" t="s">
        <v>505</v>
      </c>
      <c r="T37" s="70">
        <v>51</v>
      </c>
      <c r="U37" s="70" t="s">
        <v>473</v>
      </c>
      <c r="V37" t="str">
        <f t="shared" si="5"/>
        <v>632</v>
      </c>
    </row>
    <row r="38" spans="1:22">
      <c r="A38" s="59" t="str">
        <f>IF(E38="","",VLOOKUP('Opći dio'!$C$3,'Opći dio'!$L$6:$U$135,10,0))</f>
        <v/>
      </c>
      <c r="B38" s="59" t="str">
        <f>IF(E38="","",VLOOKUP('Opći dio'!$C$3,'Opći dio'!$L$6:$U$135,9,0))</f>
        <v/>
      </c>
      <c r="C38" s="60" t="str">
        <f t="shared" si="0"/>
        <v/>
      </c>
      <c r="D38" s="61" t="str">
        <f t="shared" si="1"/>
        <v/>
      </c>
      <c r="E38" s="62"/>
      <c r="F38" s="63" t="str">
        <f t="shared" si="2"/>
        <v/>
      </c>
      <c r="G38" s="64"/>
      <c r="H38" s="64"/>
      <c r="I38" s="64"/>
      <c r="K38" t="str">
        <f t="shared" si="3"/>
        <v/>
      </c>
      <c r="L38" t="str">
        <f t="shared" si="4"/>
        <v/>
      </c>
      <c r="R38" s="70">
        <v>632410561</v>
      </c>
      <c r="S38" s="70" t="s">
        <v>506</v>
      </c>
      <c r="T38" s="70">
        <v>561</v>
      </c>
      <c r="U38" s="70" t="s">
        <v>482</v>
      </c>
      <c r="V38" t="str">
        <f t="shared" si="5"/>
        <v>632</v>
      </c>
    </row>
    <row r="39" spans="1:22">
      <c r="A39" s="59" t="str">
        <f>IF(E39="","",VLOOKUP('Opći dio'!$C$3,'Opći dio'!$L$6:$U$135,10,0))</f>
        <v/>
      </c>
      <c r="B39" s="59" t="str">
        <f>IF(E39="","",VLOOKUP('Opći dio'!$C$3,'Opći dio'!$L$6:$U$135,9,0))</f>
        <v/>
      </c>
      <c r="C39" s="60" t="str">
        <f t="shared" si="0"/>
        <v/>
      </c>
      <c r="D39" s="61" t="str">
        <f t="shared" si="1"/>
        <v/>
      </c>
      <c r="E39" s="62"/>
      <c r="F39" s="63" t="str">
        <f t="shared" si="2"/>
        <v/>
      </c>
      <c r="G39" s="64"/>
      <c r="H39" s="64"/>
      <c r="I39" s="64"/>
      <c r="K39" t="str">
        <f t="shared" si="3"/>
        <v/>
      </c>
      <c r="L39" t="str">
        <f t="shared" si="4"/>
        <v/>
      </c>
      <c r="R39" s="70">
        <v>632410563</v>
      </c>
      <c r="S39" s="70" t="s">
        <v>507</v>
      </c>
      <c r="T39" s="70">
        <v>563</v>
      </c>
      <c r="U39" s="70" t="s">
        <v>484</v>
      </c>
      <c r="V39" t="str">
        <f t="shared" si="5"/>
        <v>632</v>
      </c>
    </row>
    <row r="40" spans="1:22">
      <c r="A40" s="59" t="str">
        <f>IF(E40="","",VLOOKUP('Opći dio'!$C$3,'Opći dio'!$L$6:$U$135,10,0))</f>
        <v/>
      </c>
      <c r="B40" s="59" t="str">
        <f>IF(E40="","",VLOOKUP('Opći dio'!$C$3,'Opći dio'!$L$6:$U$135,9,0))</f>
        <v/>
      </c>
      <c r="C40" s="60" t="str">
        <f t="shared" si="0"/>
        <v/>
      </c>
      <c r="D40" s="61" t="str">
        <f t="shared" si="1"/>
        <v/>
      </c>
      <c r="E40" s="62"/>
      <c r="F40" s="63" t="str">
        <f t="shared" si="2"/>
        <v/>
      </c>
      <c r="G40" s="64"/>
      <c r="H40" s="64"/>
      <c r="I40" s="64"/>
      <c r="K40" t="str">
        <f t="shared" si="3"/>
        <v/>
      </c>
      <c r="L40" t="str">
        <f t="shared" si="4"/>
        <v/>
      </c>
      <c r="R40" s="70">
        <v>632411700</v>
      </c>
      <c r="S40" s="70" t="s">
        <v>508</v>
      </c>
      <c r="T40" s="70">
        <v>51</v>
      </c>
      <c r="U40" s="70" t="s">
        <v>473</v>
      </c>
      <c r="V40" t="str">
        <f t="shared" ref="V40:V73" si="6">LEFT(R40,3)</f>
        <v>632</v>
      </c>
    </row>
    <row r="41" spans="1:22">
      <c r="A41" s="59" t="str">
        <f>IF(E41="","",VLOOKUP('Opći dio'!$C$3,'Opći dio'!$L$6:$U$135,10,0))</f>
        <v/>
      </c>
      <c r="B41" s="59" t="str">
        <f>IF(E41="","",VLOOKUP('Opći dio'!$C$3,'Opći dio'!$L$6:$U$135,9,0))</f>
        <v/>
      </c>
      <c r="C41" s="60" t="str">
        <f t="shared" si="0"/>
        <v/>
      </c>
      <c r="D41" s="61" t="str">
        <f t="shared" si="1"/>
        <v/>
      </c>
      <c r="E41" s="62"/>
      <c r="F41" s="63" t="str">
        <f t="shared" si="2"/>
        <v/>
      </c>
      <c r="G41" s="64"/>
      <c r="H41" s="64"/>
      <c r="I41" s="64"/>
      <c r="K41" t="str">
        <f t="shared" si="3"/>
        <v/>
      </c>
      <c r="L41" t="str">
        <f t="shared" si="4"/>
        <v/>
      </c>
      <c r="R41" s="70">
        <v>641290031</v>
      </c>
      <c r="S41" s="70" t="s">
        <v>509</v>
      </c>
      <c r="T41" s="70">
        <v>31</v>
      </c>
      <c r="U41" s="70" t="s">
        <v>468</v>
      </c>
      <c r="V41" t="str">
        <f t="shared" si="6"/>
        <v>641</v>
      </c>
    </row>
    <row r="42" spans="1:22">
      <c r="A42" s="59" t="str">
        <f>IF(E42="","",VLOOKUP('Opći dio'!$C$3,'Opći dio'!$L$6:$U$135,10,0))</f>
        <v/>
      </c>
      <c r="B42" s="59" t="str">
        <f>IF(E42="","",VLOOKUP('Opći dio'!$C$3,'Opći dio'!$L$6:$U$135,9,0))</f>
        <v/>
      </c>
      <c r="C42" s="60" t="str">
        <f t="shared" si="0"/>
        <v/>
      </c>
      <c r="D42" s="61" t="str">
        <f t="shared" si="1"/>
        <v/>
      </c>
      <c r="E42" s="62"/>
      <c r="F42" s="63" t="str">
        <f t="shared" si="2"/>
        <v/>
      </c>
      <c r="G42" s="64"/>
      <c r="H42" s="64"/>
      <c r="I42" s="64"/>
      <c r="K42" t="str">
        <f t="shared" si="3"/>
        <v/>
      </c>
      <c r="L42" t="str">
        <f t="shared" si="4"/>
        <v/>
      </c>
      <c r="R42" s="70">
        <v>641310031</v>
      </c>
      <c r="S42" s="70" t="s">
        <v>510</v>
      </c>
      <c r="T42" s="70">
        <v>31</v>
      </c>
      <c r="U42" s="70" t="s">
        <v>468</v>
      </c>
      <c r="V42" t="str">
        <f t="shared" si="6"/>
        <v>641</v>
      </c>
    </row>
    <row r="43" spans="1:22">
      <c r="A43" s="59" t="str">
        <f>IF(E43="","",VLOOKUP('Opći dio'!$C$3,'Opći dio'!$L$6:$U$135,10,0))</f>
        <v/>
      </c>
      <c r="B43" s="59" t="str">
        <f>IF(E43="","",VLOOKUP('Opći dio'!$C$3,'Opći dio'!$L$6:$U$135,9,0))</f>
        <v/>
      </c>
      <c r="C43" s="60" t="str">
        <f t="shared" si="0"/>
        <v/>
      </c>
      <c r="D43" s="61" t="str">
        <f t="shared" si="1"/>
        <v/>
      </c>
      <c r="E43" s="62"/>
      <c r="F43" s="63" t="str">
        <f t="shared" si="2"/>
        <v/>
      </c>
      <c r="G43" s="64"/>
      <c r="H43" s="64"/>
      <c r="I43" s="64"/>
      <c r="K43" t="str">
        <f t="shared" si="3"/>
        <v/>
      </c>
      <c r="L43" t="str">
        <f t="shared" si="4"/>
        <v/>
      </c>
      <c r="R43" s="70">
        <v>641320031</v>
      </c>
      <c r="S43" s="70" t="s">
        <v>511</v>
      </c>
      <c r="T43" s="70">
        <v>31</v>
      </c>
      <c r="U43" s="70" t="s">
        <v>468</v>
      </c>
      <c r="V43" t="str">
        <f t="shared" si="6"/>
        <v>641</v>
      </c>
    </row>
    <row r="44" spans="1:22">
      <c r="A44" s="59" t="str">
        <f>IF(E44="","",VLOOKUP('Opći dio'!$C$3,'Opći dio'!$L$6:$U$135,10,0))</f>
        <v/>
      </c>
      <c r="B44" s="59" t="str">
        <f>IF(E44="","",VLOOKUP('Opći dio'!$C$3,'Opći dio'!$L$6:$U$135,9,0))</f>
        <v/>
      </c>
      <c r="C44" s="60" t="str">
        <f t="shared" si="0"/>
        <v/>
      </c>
      <c r="D44" s="61" t="str">
        <f t="shared" si="1"/>
        <v/>
      </c>
      <c r="E44" s="62"/>
      <c r="F44" s="63" t="str">
        <f t="shared" si="2"/>
        <v/>
      </c>
      <c r="G44" s="64"/>
      <c r="H44" s="64"/>
      <c r="I44" s="64"/>
      <c r="K44" t="str">
        <f t="shared" si="3"/>
        <v/>
      </c>
      <c r="L44" t="str">
        <f t="shared" si="4"/>
        <v/>
      </c>
      <c r="R44" s="70">
        <v>641630031</v>
      </c>
      <c r="S44" s="70" t="s">
        <v>512</v>
      </c>
      <c r="T44" s="70">
        <v>31</v>
      </c>
      <c r="U44" s="70" t="s">
        <v>468</v>
      </c>
      <c r="V44" t="str">
        <f t="shared" si="6"/>
        <v>641</v>
      </c>
    </row>
    <row r="45" spans="1:22">
      <c r="A45" s="59" t="str">
        <f>IF(E45="","",VLOOKUP('Opći dio'!$C$3,'Opći dio'!$L$6:$U$135,10,0))</f>
        <v/>
      </c>
      <c r="B45" s="59" t="str">
        <f>IF(E45="","",VLOOKUP('Opći dio'!$C$3,'Opći dio'!$L$6:$U$135,9,0))</f>
        <v/>
      </c>
      <c r="C45" s="60" t="str">
        <f t="shared" si="0"/>
        <v/>
      </c>
      <c r="D45" s="61" t="str">
        <f t="shared" si="1"/>
        <v/>
      </c>
      <c r="E45" s="62"/>
      <c r="F45" s="63" t="str">
        <f t="shared" si="2"/>
        <v/>
      </c>
      <c r="G45" s="64"/>
      <c r="H45" s="64"/>
      <c r="I45" s="64"/>
      <c r="K45" t="str">
        <f t="shared" si="3"/>
        <v/>
      </c>
      <c r="L45" t="str">
        <f t="shared" si="4"/>
        <v/>
      </c>
      <c r="R45" s="70">
        <v>641720043</v>
      </c>
      <c r="S45" s="70" t="s">
        <v>513</v>
      </c>
      <c r="T45" s="70">
        <v>43</v>
      </c>
      <c r="U45" s="70" t="s">
        <v>471</v>
      </c>
      <c r="V45" t="str">
        <f t="shared" si="6"/>
        <v>641</v>
      </c>
    </row>
    <row r="46" spans="1:22">
      <c r="A46" s="59" t="str">
        <f>IF(E46="","",VLOOKUP('Opći dio'!$C$3,'Opći dio'!$L$6:$U$135,10,0))</f>
        <v/>
      </c>
      <c r="B46" s="59" t="str">
        <f>IF(E46="","",VLOOKUP('Opći dio'!$C$3,'Opći dio'!$L$6:$U$135,9,0))</f>
        <v/>
      </c>
      <c r="C46" s="60" t="str">
        <f t="shared" si="0"/>
        <v/>
      </c>
      <c r="D46" s="61" t="str">
        <f t="shared" si="1"/>
        <v/>
      </c>
      <c r="E46" s="62"/>
      <c r="F46" s="63" t="str">
        <f t="shared" si="2"/>
        <v/>
      </c>
      <c r="G46" s="64"/>
      <c r="H46" s="64"/>
      <c r="I46" s="64"/>
      <c r="K46" t="str">
        <f t="shared" si="3"/>
        <v/>
      </c>
      <c r="L46" t="str">
        <f t="shared" si="4"/>
        <v/>
      </c>
      <c r="R46" s="70">
        <v>642510031</v>
      </c>
      <c r="S46" s="70" t="s">
        <v>514</v>
      </c>
      <c r="T46" s="70">
        <v>31</v>
      </c>
      <c r="U46" s="70" t="s">
        <v>468</v>
      </c>
      <c r="V46" t="str">
        <f t="shared" si="6"/>
        <v>642</v>
      </c>
    </row>
    <row r="47" spans="1:22">
      <c r="A47" s="59" t="str">
        <f>IF(E47="","",VLOOKUP('Opći dio'!$C$3,'Opći dio'!$L$6:$U$135,10,0))</f>
        <v/>
      </c>
      <c r="B47" s="59" t="str">
        <f>IF(E47="","",VLOOKUP('Opći dio'!$C$3,'Opći dio'!$L$6:$U$135,9,0))</f>
        <v/>
      </c>
      <c r="C47" s="60" t="str">
        <f t="shared" si="0"/>
        <v/>
      </c>
      <c r="D47" s="61" t="str">
        <f t="shared" si="1"/>
        <v/>
      </c>
      <c r="E47" s="62"/>
      <c r="F47" s="63" t="str">
        <f t="shared" si="2"/>
        <v/>
      </c>
      <c r="G47" s="64"/>
      <c r="H47" s="64"/>
      <c r="I47" s="64"/>
      <c r="K47" t="str">
        <f t="shared" si="3"/>
        <v/>
      </c>
      <c r="L47" t="str">
        <f t="shared" si="4"/>
        <v/>
      </c>
      <c r="R47" s="70">
        <v>642990031</v>
      </c>
      <c r="S47" s="70" t="s">
        <v>515</v>
      </c>
      <c r="T47" s="70">
        <v>31</v>
      </c>
      <c r="U47" s="70" t="s">
        <v>468</v>
      </c>
      <c r="V47" t="str">
        <f t="shared" si="6"/>
        <v>642</v>
      </c>
    </row>
    <row r="48" spans="1:22">
      <c r="A48" s="59" t="str">
        <f>IF(E48="","",VLOOKUP('Opći dio'!$C$3,'Opći dio'!$L$6:$U$135,10,0))</f>
        <v/>
      </c>
      <c r="B48" s="59" t="str">
        <f>IF(E48="","",VLOOKUP('Opći dio'!$C$3,'Opći dio'!$L$6:$U$135,9,0))</f>
        <v/>
      </c>
      <c r="C48" s="60" t="str">
        <f t="shared" si="0"/>
        <v/>
      </c>
      <c r="D48" s="61" t="str">
        <f t="shared" si="1"/>
        <v/>
      </c>
      <c r="E48" s="62"/>
      <c r="F48" s="63" t="str">
        <f t="shared" si="2"/>
        <v/>
      </c>
      <c r="G48" s="64"/>
      <c r="H48" s="64"/>
      <c r="I48" s="64"/>
      <c r="K48" t="str">
        <f t="shared" si="3"/>
        <v/>
      </c>
      <c r="L48" t="str">
        <f t="shared" si="4"/>
        <v/>
      </c>
      <c r="R48" s="70">
        <v>652670043</v>
      </c>
      <c r="S48" s="70" t="s">
        <v>516</v>
      </c>
      <c r="T48" s="70">
        <v>43</v>
      </c>
      <c r="U48" s="70" t="s">
        <v>471</v>
      </c>
      <c r="V48" t="str">
        <f t="shared" si="6"/>
        <v>652</v>
      </c>
    </row>
    <row r="49" spans="1:22">
      <c r="A49" s="59" t="str">
        <f>IF(E49="","",VLOOKUP('Opći dio'!$C$3,'Opći dio'!$L$6:$U$135,10,0))</f>
        <v/>
      </c>
      <c r="B49" s="59" t="str">
        <f>IF(E49="","",VLOOKUP('Opći dio'!$C$3,'Opći dio'!$L$6:$U$135,9,0))</f>
        <v/>
      </c>
      <c r="C49" s="60" t="str">
        <f t="shared" si="0"/>
        <v/>
      </c>
      <c r="D49" s="61" t="str">
        <f t="shared" si="1"/>
        <v/>
      </c>
      <c r="E49" s="62"/>
      <c r="F49" s="63" t="str">
        <f t="shared" si="2"/>
        <v/>
      </c>
      <c r="G49" s="64"/>
      <c r="H49" s="64"/>
      <c r="I49" s="64"/>
      <c r="K49" t="str">
        <f t="shared" si="3"/>
        <v/>
      </c>
      <c r="L49" t="str">
        <f t="shared" si="4"/>
        <v/>
      </c>
      <c r="R49" s="70">
        <v>663110000</v>
      </c>
      <c r="S49" s="70" t="s">
        <v>517</v>
      </c>
      <c r="T49" s="70">
        <v>61</v>
      </c>
      <c r="U49" s="70" t="s">
        <v>476</v>
      </c>
      <c r="V49" t="str">
        <f t="shared" si="6"/>
        <v>663</v>
      </c>
    </row>
    <row r="50" spans="1:22">
      <c r="A50" s="59" t="str">
        <f>IF(E50="","",VLOOKUP('Opći dio'!$C$3,'Opći dio'!$L$6:$U$135,10,0))</f>
        <v/>
      </c>
      <c r="B50" s="59" t="str">
        <f>IF(E50="","",VLOOKUP('Opći dio'!$C$3,'Opći dio'!$L$6:$U$135,9,0))</f>
        <v/>
      </c>
      <c r="C50" s="60" t="str">
        <f t="shared" si="0"/>
        <v/>
      </c>
      <c r="D50" s="61" t="str">
        <f t="shared" si="1"/>
        <v/>
      </c>
      <c r="E50" s="62"/>
      <c r="F50" s="63" t="str">
        <f t="shared" si="2"/>
        <v/>
      </c>
      <c r="G50" s="64"/>
      <c r="H50" s="64"/>
      <c r="I50" s="64"/>
      <c r="K50" t="str">
        <f t="shared" si="3"/>
        <v/>
      </c>
      <c r="L50" t="str">
        <f t="shared" si="4"/>
        <v/>
      </c>
      <c r="R50" s="70">
        <v>663120000</v>
      </c>
      <c r="S50" s="70" t="s">
        <v>518</v>
      </c>
      <c r="T50" s="70">
        <v>61</v>
      </c>
      <c r="U50" s="70" t="s">
        <v>476</v>
      </c>
      <c r="V50" t="str">
        <f t="shared" si="6"/>
        <v>663</v>
      </c>
    </row>
    <row r="51" spans="1:22">
      <c r="A51" s="59" t="str">
        <f>IF(E51="","",VLOOKUP('Opći dio'!$C$3,'Opći dio'!$L$6:$U$135,10,0))</f>
        <v/>
      </c>
      <c r="B51" s="59" t="str">
        <f>IF(E51="","",VLOOKUP('Opći dio'!$C$3,'Opći dio'!$L$6:$U$135,9,0))</f>
        <v/>
      </c>
      <c r="C51" s="60" t="str">
        <f t="shared" si="0"/>
        <v/>
      </c>
      <c r="D51" s="61" t="str">
        <f t="shared" si="1"/>
        <v/>
      </c>
      <c r="E51" s="62"/>
      <c r="F51" s="63" t="str">
        <f t="shared" si="2"/>
        <v/>
      </c>
      <c r="G51" s="64"/>
      <c r="H51" s="64"/>
      <c r="I51" s="64"/>
      <c r="K51" t="str">
        <f t="shared" si="3"/>
        <v/>
      </c>
      <c r="L51" t="str">
        <f t="shared" si="4"/>
        <v/>
      </c>
      <c r="R51" s="70">
        <v>663130000</v>
      </c>
      <c r="S51" s="70" t="s">
        <v>519</v>
      </c>
      <c r="T51" s="70">
        <v>61</v>
      </c>
      <c r="U51" s="70" t="s">
        <v>476</v>
      </c>
      <c r="V51" t="str">
        <f t="shared" si="6"/>
        <v>663</v>
      </c>
    </row>
    <row r="52" spans="1:22">
      <c r="A52" s="59" t="str">
        <f>IF(E52="","",VLOOKUP('Opći dio'!$C$3,'Opći dio'!$L$6:$U$135,10,0))</f>
        <v/>
      </c>
      <c r="B52" s="59" t="str">
        <f>IF(E52="","",VLOOKUP('Opći dio'!$C$3,'Opći dio'!$L$6:$U$135,9,0))</f>
        <v/>
      </c>
      <c r="C52" s="60" t="str">
        <f t="shared" si="0"/>
        <v/>
      </c>
      <c r="D52" s="61" t="str">
        <f t="shared" si="1"/>
        <v/>
      </c>
      <c r="E52" s="62"/>
      <c r="F52" s="63" t="str">
        <f t="shared" si="2"/>
        <v/>
      </c>
      <c r="G52" s="64"/>
      <c r="H52" s="64"/>
      <c r="I52" s="64"/>
      <c r="K52" t="str">
        <f t="shared" si="3"/>
        <v/>
      </c>
      <c r="L52" t="str">
        <f t="shared" si="4"/>
        <v/>
      </c>
      <c r="R52" s="70">
        <v>663140000</v>
      </c>
      <c r="S52" s="70" t="s">
        <v>520</v>
      </c>
      <c r="T52" s="70">
        <v>61</v>
      </c>
      <c r="U52" s="70" t="s">
        <v>476</v>
      </c>
      <c r="V52" t="str">
        <f t="shared" si="6"/>
        <v>663</v>
      </c>
    </row>
    <row r="53" spans="1:22">
      <c r="A53" s="59" t="str">
        <f>IF(E53="","",VLOOKUP('Opći dio'!$C$3,'Opći dio'!$L$6:$U$135,10,0))</f>
        <v/>
      </c>
      <c r="B53" s="59" t="str">
        <f>IF(E53="","",VLOOKUP('Opći dio'!$C$3,'Opći dio'!$L$6:$U$135,9,0))</f>
        <v/>
      </c>
      <c r="C53" s="60" t="str">
        <f t="shared" si="0"/>
        <v/>
      </c>
      <c r="D53" s="61" t="str">
        <f t="shared" si="1"/>
        <v/>
      </c>
      <c r="E53" s="62"/>
      <c r="F53" s="63" t="str">
        <f t="shared" si="2"/>
        <v/>
      </c>
      <c r="G53" s="64"/>
      <c r="H53" s="64"/>
      <c r="I53" s="64"/>
      <c r="K53" t="str">
        <f t="shared" si="3"/>
        <v/>
      </c>
      <c r="L53" t="str">
        <f t="shared" si="4"/>
        <v/>
      </c>
      <c r="R53" s="70">
        <v>663210000</v>
      </c>
      <c r="S53" s="70" t="s">
        <v>521</v>
      </c>
      <c r="T53" s="70">
        <v>61</v>
      </c>
      <c r="U53" s="70" t="s">
        <v>476</v>
      </c>
      <c r="V53" t="str">
        <f t="shared" si="6"/>
        <v>663</v>
      </c>
    </row>
    <row r="54" spans="1:22">
      <c r="A54" s="59" t="str">
        <f>IF(E54="","",VLOOKUP('Opći dio'!$C$3,'Opći dio'!$L$6:$U$135,10,0))</f>
        <v/>
      </c>
      <c r="B54" s="59" t="str">
        <f>IF(E54="","",VLOOKUP('Opći dio'!$C$3,'Opći dio'!$L$6:$U$135,9,0))</f>
        <v/>
      </c>
      <c r="C54" s="60" t="str">
        <f t="shared" si="0"/>
        <v/>
      </c>
      <c r="D54" s="61" t="str">
        <f t="shared" si="1"/>
        <v/>
      </c>
      <c r="E54" s="62"/>
      <c r="F54" s="63" t="str">
        <f t="shared" si="2"/>
        <v/>
      </c>
      <c r="G54" s="64"/>
      <c r="H54" s="64"/>
      <c r="I54" s="64"/>
      <c r="K54" t="str">
        <f t="shared" si="3"/>
        <v/>
      </c>
      <c r="L54" t="str">
        <f t="shared" si="4"/>
        <v/>
      </c>
      <c r="R54" s="70">
        <v>663220000</v>
      </c>
      <c r="S54" s="70" t="s">
        <v>522</v>
      </c>
      <c r="T54" s="70">
        <v>61</v>
      </c>
      <c r="U54" s="70" t="s">
        <v>476</v>
      </c>
      <c r="V54" t="str">
        <f t="shared" si="6"/>
        <v>663</v>
      </c>
    </row>
    <row r="55" spans="1:22">
      <c r="A55" s="59" t="str">
        <f>IF(E55="","",VLOOKUP('Opći dio'!$C$3,'Opći dio'!$L$6:$U$135,10,0))</f>
        <v/>
      </c>
      <c r="B55" s="59" t="str">
        <f>IF(E55="","",VLOOKUP('Opći dio'!$C$3,'Opći dio'!$L$6:$U$135,9,0))</f>
        <v/>
      </c>
      <c r="C55" s="60" t="str">
        <f t="shared" si="0"/>
        <v/>
      </c>
      <c r="D55" s="61" t="str">
        <f t="shared" si="1"/>
        <v/>
      </c>
      <c r="E55" s="62"/>
      <c r="F55" s="63" t="str">
        <f t="shared" si="2"/>
        <v/>
      </c>
      <c r="G55" s="64"/>
      <c r="H55" s="64"/>
      <c r="I55" s="64"/>
      <c r="K55" t="str">
        <f t="shared" si="3"/>
        <v/>
      </c>
      <c r="L55" t="str">
        <f t="shared" si="4"/>
        <v/>
      </c>
      <c r="R55" s="70">
        <v>663230000</v>
      </c>
      <c r="S55" s="70" t="s">
        <v>523</v>
      </c>
      <c r="T55" s="70">
        <v>61</v>
      </c>
      <c r="U55" s="70" t="s">
        <v>476</v>
      </c>
      <c r="V55" t="str">
        <f t="shared" si="6"/>
        <v>663</v>
      </c>
    </row>
    <row r="56" spans="1:22">
      <c r="A56" s="59" t="str">
        <f>IF(E56="","",VLOOKUP('Opći dio'!$C$3,'Opći dio'!$L$6:$U$135,10,0))</f>
        <v/>
      </c>
      <c r="B56" s="59" t="str">
        <f>IF(E56="","",VLOOKUP('Opći dio'!$C$3,'Opći dio'!$L$6:$U$135,9,0))</f>
        <v/>
      </c>
      <c r="C56" s="60" t="str">
        <f t="shared" si="0"/>
        <v/>
      </c>
      <c r="D56" s="61" t="str">
        <f t="shared" si="1"/>
        <v/>
      </c>
      <c r="E56" s="62"/>
      <c r="F56" s="63" t="str">
        <f t="shared" si="2"/>
        <v/>
      </c>
      <c r="G56" s="64"/>
      <c r="H56" s="64"/>
      <c r="I56" s="64"/>
      <c r="K56" t="str">
        <f t="shared" si="3"/>
        <v/>
      </c>
      <c r="L56" t="str">
        <f t="shared" si="4"/>
        <v/>
      </c>
      <c r="R56" s="70">
        <v>663240000</v>
      </c>
      <c r="S56" s="70" t="s">
        <v>524</v>
      </c>
      <c r="T56" s="70">
        <v>61</v>
      </c>
      <c r="U56" s="70" t="s">
        <v>476</v>
      </c>
      <c r="V56" t="str">
        <f t="shared" si="6"/>
        <v>663</v>
      </c>
    </row>
    <row r="57" spans="1:22">
      <c r="A57" s="59" t="str">
        <f>IF(E57="","",VLOOKUP('Opći dio'!$C$3,'Opći dio'!$L$6:$U$135,10,0))</f>
        <v/>
      </c>
      <c r="B57" s="59" t="str">
        <f>IF(E57="","",VLOOKUP('Opći dio'!$C$3,'Opći dio'!$L$6:$U$135,9,0))</f>
        <v/>
      </c>
      <c r="C57" s="60" t="str">
        <f t="shared" si="0"/>
        <v/>
      </c>
      <c r="D57" s="61" t="str">
        <f t="shared" si="1"/>
        <v/>
      </c>
      <c r="E57" s="62"/>
      <c r="F57" s="63" t="str">
        <f t="shared" si="2"/>
        <v/>
      </c>
      <c r="G57" s="64"/>
      <c r="H57" s="64"/>
      <c r="I57" s="64"/>
      <c r="K57" t="str">
        <f t="shared" si="3"/>
        <v/>
      </c>
      <c r="L57" t="str">
        <f t="shared" si="4"/>
        <v/>
      </c>
      <c r="R57" s="70">
        <v>681910043</v>
      </c>
      <c r="S57" s="70" t="s">
        <v>525</v>
      </c>
      <c r="T57" s="70">
        <v>43</v>
      </c>
      <c r="U57" s="70" t="s">
        <v>471</v>
      </c>
      <c r="V57" t="str">
        <f t="shared" si="6"/>
        <v>681</v>
      </c>
    </row>
    <row r="58" spans="1:22">
      <c r="A58" s="59" t="str">
        <f>IF(E58="","",VLOOKUP('Opći dio'!$C$3,'Opći dio'!$L$6:$U$135,10,0))</f>
        <v/>
      </c>
      <c r="B58" s="59" t="str">
        <f>IF(E58="","",VLOOKUP('Opći dio'!$C$3,'Opći dio'!$L$6:$U$135,9,0))</f>
        <v/>
      </c>
      <c r="C58" s="60" t="str">
        <f t="shared" si="0"/>
        <v/>
      </c>
      <c r="D58" s="61" t="str">
        <f t="shared" si="1"/>
        <v/>
      </c>
      <c r="E58" s="62"/>
      <c r="F58" s="63" t="str">
        <f t="shared" si="2"/>
        <v/>
      </c>
      <c r="G58" s="64"/>
      <c r="H58" s="64"/>
      <c r="I58" s="64"/>
      <c r="K58" t="str">
        <f t="shared" si="3"/>
        <v/>
      </c>
      <c r="L58" t="str">
        <f t="shared" si="4"/>
        <v/>
      </c>
      <c r="R58" s="70">
        <v>683110043</v>
      </c>
      <c r="S58" s="70" t="s">
        <v>526</v>
      </c>
      <c r="T58" s="70">
        <v>43</v>
      </c>
      <c r="U58" s="70" t="s">
        <v>471</v>
      </c>
      <c r="V58" t="str">
        <f t="shared" si="6"/>
        <v>683</v>
      </c>
    </row>
    <row r="59" spans="1:22">
      <c r="A59" s="59" t="str">
        <f>IF(E59="","",VLOOKUP('Opći dio'!$C$3,'Opći dio'!$L$6:$U$135,10,0))</f>
        <v/>
      </c>
      <c r="B59" s="59" t="str">
        <f>IF(E59="","",VLOOKUP('Opći dio'!$C$3,'Opći dio'!$L$6:$U$135,9,0))</f>
        <v/>
      </c>
      <c r="C59" s="60" t="str">
        <f t="shared" si="0"/>
        <v/>
      </c>
      <c r="D59" s="61" t="str">
        <f t="shared" si="1"/>
        <v/>
      </c>
      <c r="E59" s="62"/>
      <c r="F59" s="63" t="str">
        <f t="shared" si="2"/>
        <v/>
      </c>
      <c r="G59" s="64"/>
      <c r="H59" s="64"/>
      <c r="I59" s="64"/>
      <c r="K59" t="str">
        <f t="shared" si="3"/>
        <v/>
      </c>
      <c r="L59" t="str">
        <f t="shared" si="4"/>
        <v/>
      </c>
      <c r="R59" s="70">
        <v>711120071</v>
      </c>
      <c r="S59" s="70" t="s">
        <v>527</v>
      </c>
      <c r="T59" s="70">
        <v>71</v>
      </c>
      <c r="U59" s="70" t="s">
        <v>478</v>
      </c>
      <c r="V59" t="str">
        <f t="shared" si="6"/>
        <v>711</v>
      </c>
    </row>
    <row r="60" spans="1:22">
      <c r="A60" s="59" t="str">
        <f>IF(E60="","",VLOOKUP('Opći dio'!$C$3,'Opći dio'!$L$6:$U$135,10,0))</f>
        <v/>
      </c>
      <c r="B60" s="59" t="str">
        <f>IF(E60="","",VLOOKUP('Opći dio'!$C$3,'Opći dio'!$L$6:$U$135,9,0))</f>
        <v/>
      </c>
      <c r="C60" s="60" t="str">
        <f t="shared" si="0"/>
        <v/>
      </c>
      <c r="D60" s="61" t="str">
        <f t="shared" si="1"/>
        <v/>
      </c>
      <c r="E60" s="62"/>
      <c r="F60" s="63" t="str">
        <f t="shared" si="2"/>
        <v/>
      </c>
      <c r="G60" s="64"/>
      <c r="H60" s="64"/>
      <c r="I60" s="64"/>
      <c r="K60" t="str">
        <f t="shared" si="3"/>
        <v/>
      </c>
      <c r="L60" t="str">
        <f t="shared" si="4"/>
        <v/>
      </c>
      <c r="R60" s="70">
        <v>712410071</v>
      </c>
      <c r="S60" s="70" t="s">
        <v>528</v>
      </c>
      <c r="T60" s="70">
        <v>71</v>
      </c>
      <c r="U60" s="70" t="s">
        <v>478</v>
      </c>
      <c r="V60" t="str">
        <f t="shared" si="6"/>
        <v>712</v>
      </c>
    </row>
    <row r="61" spans="1:22">
      <c r="A61" s="59" t="str">
        <f>IF(E61="","",VLOOKUP('Opći dio'!$C$3,'Opći dio'!$L$6:$U$135,10,0))</f>
        <v/>
      </c>
      <c r="B61" s="59" t="str">
        <f>IF(E61="","",VLOOKUP('Opći dio'!$C$3,'Opći dio'!$L$6:$U$135,9,0))</f>
        <v/>
      </c>
      <c r="C61" s="60" t="str">
        <f t="shared" si="0"/>
        <v/>
      </c>
      <c r="D61" s="61" t="str">
        <f t="shared" si="1"/>
        <v/>
      </c>
      <c r="E61" s="62"/>
      <c r="F61" s="63" t="str">
        <f t="shared" si="2"/>
        <v/>
      </c>
      <c r="G61" s="64"/>
      <c r="H61" s="64"/>
      <c r="I61" s="64"/>
      <c r="K61" t="str">
        <f t="shared" si="3"/>
        <v/>
      </c>
      <c r="L61" t="str">
        <f t="shared" si="4"/>
        <v/>
      </c>
      <c r="R61" s="70">
        <v>712490071</v>
      </c>
      <c r="S61" s="70" t="s">
        <v>529</v>
      </c>
      <c r="T61" s="70">
        <v>71</v>
      </c>
      <c r="U61" s="70" t="s">
        <v>478</v>
      </c>
      <c r="V61" t="str">
        <f t="shared" si="6"/>
        <v>712</v>
      </c>
    </row>
    <row r="62" spans="1:22">
      <c r="A62" s="59" t="str">
        <f>IF(E62="","",VLOOKUP('Opći dio'!$C$3,'Opći dio'!$L$6:$U$135,10,0))</f>
        <v/>
      </c>
      <c r="B62" s="59" t="str">
        <f>IF(E62="","",VLOOKUP('Opći dio'!$C$3,'Opći dio'!$L$6:$U$135,9,0))</f>
        <v/>
      </c>
      <c r="C62" s="60" t="str">
        <f t="shared" si="0"/>
        <v/>
      </c>
      <c r="D62" s="61" t="str">
        <f t="shared" si="1"/>
        <v/>
      </c>
      <c r="E62" s="62"/>
      <c r="F62" s="63" t="str">
        <f t="shared" si="2"/>
        <v/>
      </c>
      <c r="G62" s="64"/>
      <c r="H62" s="64"/>
      <c r="I62" s="64"/>
      <c r="K62" t="str">
        <f t="shared" si="3"/>
        <v/>
      </c>
      <c r="L62" t="str">
        <f t="shared" si="4"/>
        <v/>
      </c>
      <c r="R62" s="70">
        <v>721110071</v>
      </c>
      <c r="S62" s="70" t="s">
        <v>530</v>
      </c>
      <c r="T62" s="70">
        <v>71</v>
      </c>
      <c r="U62" s="70" t="s">
        <v>478</v>
      </c>
      <c r="V62" t="str">
        <f t="shared" si="6"/>
        <v>721</v>
      </c>
    </row>
    <row r="63" spans="1:22">
      <c r="A63" s="59" t="str">
        <f>IF(E63="","",VLOOKUP('Opći dio'!$C$3,'Opći dio'!$L$6:$U$135,10,0))</f>
        <v/>
      </c>
      <c r="B63" s="59" t="str">
        <f>IF(E63="","",VLOOKUP('Opći dio'!$C$3,'Opći dio'!$L$6:$U$135,9,0))</f>
        <v/>
      </c>
      <c r="C63" s="60" t="str">
        <f t="shared" si="0"/>
        <v/>
      </c>
      <c r="D63" s="61" t="str">
        <f t="shared" si="1"/>
        <v/>
      </c>
      <c r="E63" s="62"/>
      <c r="F63" s="63" t="str">
        <f t="shared" si="2"/>
        <v/>
      </c>
      <c r="G63" s="64"/>
      <c r="H63" s="64"/>
      <c r="I63" s="64"/>
      <c r="K63" t="str">
        <f t="shared" si="3"/>
        <v/>
      </c>
      <c r="L63" t="str">
        <f t="shared" si="4"/>
        <v/>
      </c>
      <c r="R63" s="70">
        <v>721190071</v>
      </c>
      <c r="S63" s="70" t="s">
        <v>531</v>
      </c>
      <c r="T63" s="70">
        <v>71</v>
      </c>
      <c r="U63" s="70" t="s">
        <v>478</v>
      </c>
      <c r="V63" t="str">
        <f t="shared" si="6"/>
        <v>721</v>
      </c>
    </row>
    <row r="64" spans="1:22">
      <c r="A64" s="59" t="str">
        <f>IF(E64="","",VLOOKUP('Opći dio'!$C$3,'Opći dio'!$L$6:$U$135,10,0))</f>
        <v/>
      </c>
      <c r="B64" s="59" t="str">
        <f>IF(E64="","",VLOOKUP('Opći dio'!$C$3,'Opći dio'!$L$6:$U$135,9,0))</f>
        <v/>
      </c>
      <c r="C64" s="60" t="str">
        <f t="shared" si="0"/>
        <v/>
      </c>
      <c r="D64" s="61" t="str">
        <f t="shared" si="1"/>
        <v/>
      </c>
      <c r="E64" s="62"/>
      <c r="F64" s="63" t="str">
        <f t="shared" si="2"/>
        <v/>
      </c>
      <c r="G64" s="64"/>
      <c r="H64" s="64"/>
      <c r="I64" s="64"/>
      <c r="K64" t="str">
        <f t="shared" si="3"/>
        <v/>
      </c>
      <c r="L64" t="str">
        <f t="shared" si="4"/>
        <v/>
      </c>
      <c r="R64" s="70">
        <v>721230071</v>
      </c>
      <c r="S64" s="70" t="s">
        <v>532</v>
      </c>
      <c r="T64" s="70">
        <v>71</v>
      </c>
      <c r="U64" s="70" t="s">
        <v>478</v>
      </c>
      <c r="V64" t="str">
        <f t="shared" si="6"/>
        <v>721</v>
      </c>
    </row>
    <row r="65" spans="1:22">
      <c r="A65" s="59" t="str">
        <f>IF(E65="","",VLOOKUP('Opći dio'!$C$3,'Opći dio'!$L$6:$U$135,10,0))</f>
        <v/>
      </c>
      <c r="B65" s="59" t="str">
        <f>IF(E65="","",VLOOKUP('Opći dio'!$C$3,'Opći dio'!$L$6:$U$135,9,0))</f>
        <v/>
      </c>
      <c r="C65" s="60" t="str">
        <f t="shared" si="0"/>
        <v/>
      </c>
      <c r="D65" s="61" t="str">
        <f t="shared" si="1"/>
        <v/>
      </c>
      <c r="E65" s="62"/>
      <c r="F65" s="63" t="str">
        <f t="shared" si="2"/>
        <v/>
      </c>
      <c r="G65" s="64"/>
      <c r="H65" s="64"/>
      <c r="I65" s="64"/>
      <c r="K65" t="str">
        <f t="shared" si="3"/>
        <v/>
      </c>
      <c r="L65" t="str">
        <f t="shared" si="4"/>
        <v/>
      </c>
      <c r="R65" s="70">
        <v>721290071</v>
      </c>
      <c r="S65" s="70" t="s">
        <v>533</v>
      </c>
      <c r="T65" s="70">
        <v>71</v>
      </c>
      <c r="U65" s="70" t="s">
        <v>478</v>
      </c>
      <c r="V65" t="str">
        <f t="shared" si="6"/>
        <v>721</v>
      </c>
    </row>
    <row r="66" spans="1:22">
      <c r="A66" s="59" t="str">
        <f>IF(E66="","",VLOOKUP('Opći dio'!$C$3,'Opći dio'!$L$6:$U$135,10,0))</f>
        <v/>
      </c>
      <c r="B66" s="59" t="str">
        <f>IF(E66="","",VLOOKUP('Opći dio'!$C$3,'Opći dio'!$L$6:$U$135,9,0))</f>
        <v/>
      </c>
      <c r="C66" s="60" t="str">
        <f t="shared" si="0"/>
        <v/>
      </c>
      <c r="D66" s="61" t="str">
        <f t="shared" si="1"/>
        <v/>
      </c>
      <c r="E66" s="62"/>
      <c r="F66" s="63" t="str">
        <f t="shared" si="2"/>
        <v/>
      </c>
      <c r="G66" s="64"/>
      <c r="H66" s="64"/>
      <c r="I66" s="64"/>
      <c r="K66" t="str">
        <f t="shared" si="3"/>
        <v/>
      </c>
      <c r="L66" t="str">
        <f t="shared" si="4"/>
        <v/>
      </c>
      <c r="R66" s="70">
        <v>722110071</v>
      </c>
      <c r="S66" s="70" t="s">
        <v>534</v>
      </c>
      <c r="T66" s="70">
        <v>71</v>
      </c>
      <c r="U66" s="70" t="s">
        <v>478</v>
      </c>
      <c r="V66" t="str">
        <f t="shared" si="6"/>
        <v>722</v>
      </c>
    </row>
    <row r="67" spans="1:22">
      <c r="A67" s="59" t="str">
        <f>IF(E67="","",VLOOKUP('Opći dio'!$C$3,'Opći dio'!$L$6:$U$135,10,0))</f>
        <v/>
      </c>
      <c r="B67" s="59" t="str">
        <f>IF(E67="","",VLOOKUP('Opći dio'!$C$3,'Opći dio'!$L$6:$U$135,9,0))</f>
        <v/>
      </c>
      <c r="C67" s="60" t="str">
        <f t="shared" ref="C67:C130" si="7">IFERROR(VLOOKUP(E67,$R$6:$U$73,3,0),"")</f>
        <v/>
      </c>
      <c r="D67" s="61" t="str">
        <f t="shared" ref="D67:D130" si="8">IFERROR(VLOOKUP(E67,$R$6:$U$73,4,0),"")</f>
        <v/>
      </c>
      <c r="E67" s="62"/>
      <c r="F67" s="63" t="str">
        <f t="shared" ref="F67:F130" si="9">IFERROR(VLOOKUP(E67,$R$6:$U$73,2,0),"")</f>
        <v/>
      </c>
      <c r="G67" s="64"/>
      <c r="H67" s="64"/>
      <c r="I67" s="64"/>
      <c r="K67" t="str">
        <f t="shared" ref="K67:K130" si="10">LEFT(E67,3)</f>
        <v/>
      </c>
      <c r="L67" t="str">
        <f t="shared" ref="L67:L130" si="11">LEFT(E67,2)</f>
        <v/>
      </c>
      <c r="R67" s="70">
        <v>722190071</v>
      </c>
      <c r="S67" s="70" t="s">
        <v>535</v>
      </c>
      <c r="T67" s="70">
        <v>71</v>
      </c>
      <c r="U67" s="70" t="s">
        <v>478</v>
      </c>
      <c r="V67" t="str">
        <f t="shared" si="6"/>
        <v>722</v>
      </c>
    </row>
    <row r="68" spans="1:22">
      <c r="A68" s="59" t="str">
        <f>IF(E68="","",VLOOKUP('Opći dio'!$C$3,'Opći dio'!$L$6:$U$135,10,0))</f>
        <v/>
      </c>
      <c r="B68" s="59" t="str">
        <f>IF(E68="","",VLOOKUP('Opći dio'!$C$3,'Opći dio'!$L$6:$U$135,9,0))</f>
        <v/>
      </c>
      <c r="C68" s="60" t="str">
        <f t="shared" si="7"/>
        <v/>
      </c>
      <c r="D68" s="61" t="str">
        <f t="shared" si="8"/>
        <v/>
      </c>
      <c r="E68" s="62"/>
      <c r="F68" s="63" t="str">
        <f t="shared" si="9"/>
        <v/>
      </c>
      <c r="G68" s="64"/>
      <c r="H68" s="64"/>
      <c r="I68" s="64"/>
      <c r="K68" t="str">
        <f t="shared" si="10"/>
        <v/>
      </c>
      <c r="L68" t="str">
        <f t="shared" si="11"/>
        <v/>
      </c>
      <c r="R68" s="70">
        <v>722620071</v>
      </c>
      <c r="S68" s="70" t="s">
        <v>536</v>
      </c>
      <c r="T68" s="70">
        <v>71</v>
      </c>
      <c r="U68" s="70" t="s">
        <v>478</v>
      </c>
      <c r="V68" t="str">
        <f t="shared" si="6"/>
        <v>722</v>
      </c>
    </row>
    <row r="69" spans="1:22">
      <c r="A69" s="59" t="str">
        <f>IF(E69="","",VLOOKUP('Opći dio'!$C$3,'Opći dio'!$L$6:$U$135,10,0))</f>
        <v/>
      </c>
      <c r="B69" s="59" t="str">
        <f>IF(E69="","",VLOOKUP('Opći dio'!$C$3,'Opći dio'!$L$6:$U$135,9,0))</f>
        <v/>
      </c>
      <c r="C69" s="60" t="str">
        <f t="shared" si="7"/>
        <v/>
      </c>
      <c r="D69" s="61" t="str">
        <f t="shared" si="8"/>
        <v/>
      </c>
      <c r="E69" s="62"/>
      <c r="F69" s="63" t="str">
        <f t="shared" si="9"/>
        <v/>
      </c>
      <c r="G69" s="64"/>
      <c r="H69" s="64"/>
      <c r="I69" s="64"/>
      <c r="K69" t="str">
        <f t="shared" si="10"/>
        <v/>
      </c>
      <c r="L69" t="str">
        <f t="shared" si="11"/>
        <v/>
      </c>
      <c r="R69" s="70">
        <v>722730071</v>
      </c>
      <c r="S69" s="70" t="s">
        <v>537</v>
      </c>
      <c r="T69" s="70">
        <v>71</v>
      </c>
      <c r="U69" s="70" t="s">
        <v>478</v>
      </c>
      <c r="V69" t="str">
        <f t="shared" si="6"/>
        <v>722</v>
      </c>
    </row>
    <row r="70" spans="1:22">
      <c r="A70" s="59" t="str">
        <f>IF(E70="","",VLOOKUP('Opći dio'!$C$3,'Opći dio'!$L$6:$U$135,10,0))</f>
        <v/>
      </c>
      <c r="B70" s="59" t="str">
        <f>IF(E70="","",VLOOKUP('Opći dio'!$C$3,'Opći dio'!$L$6:$U$135,9,0))</f>
        <v/>
      </c>
      <c r="C70" s="60" t="str">
        <f t="shared" si="7"/>
        <v/>
      </c>
      <c r="D70" s="61" t="str">
        <f t="shared" si="8"/>
        <v/>
      </c>
      <c r="E70" s="62"/>
      <c r="F70" s="63" t="str">
        <f t="shared" si="9"/>
        <v/>
      </c>
      <c r="G70" s="64"/>
      <c r="H70" s="64"/>
      <c r="I70" s="64"/>
      <c r="K70" t="str">
        <f t="shared" si="10"/>
        <v/>
      </c>
      <c r="L70" t="str">
        <f t="shared" si="11"/>
        <v/>
      </c>
      <c r="R70" s="70">
        <v>723110071</v>
      </c>
      <c r="S70" s="70" t="s">
        <v>538</v>
      </c>
      <c r="T70" s="70">
        <v>71</v>
      </c>
      <c r="U70" s="70" t="s">
        <v>478</v>
      </c>
      <c r="V70" t="str">
        <f t="shared" si="6"/>
        <v>723</v>
      </c>
    </row>
    <row r="71" spans="1:22">
      <c r="A71" s="59" t="str">
        <f>IF(E71="","",VLOOKUP('Opći dio'!$C$3,'Opći dio'!$L$6:$U$135,10,0))</f>
        <v/>
      </c>
      <c r="B71" s="59" t="str">
        <f>IF(E71="","",VLOOKUP('Opći dio'!$C$3,'Opći dio'!$L$6:$U$135,9,0))</f>
        <v/>
      </c>
      <c r="C71" s="60" t="str">
        <f t="shared" si="7"/>
        <v/>
      </c>
      <c r="D71" s="61" t="str">
        <f t="shared" si="8"/>
        <v/>
      </c>
      <c r="E71" s="62"/>
      <c r="F71" s="63" t="str">
        <f t="shared" si="9"/>
        <v/>
      </c>
      <c r="G71" s="64"/>
      <c r="H71" s="64"/>
      <c r="I71" s="64"/>
      <c r="K71" t="str">
        <f t="shared" si="10"/>
        <v/>
      </c>
      <c r="L71" t="str">
        <f t="shared" si="11"/>
        <v/>
      </c>
      <c r="R71" s="70">
        <v>725210071</v>
      </c>
      <c r="S71" s="70" t="s">
        <v>539</v>
      </c>
      <c r="T71" s="70">
        <v>71</v>
      </c>
      <c r="U71" s="70" t="s">
        <v>478</v>
      </c>
      <c r="V71" t="str">
        <f t="shared" si="6"/>
        <v>725</v>
      </c>
    </row>
    <row r="72" spans="1:22">
      <c r="A72" s="59" t="str">
        <f>IF(E72="","",VLOOKUP('Opći dio'!$C$3,'Opći dio'!$L$6:$U$135,10,0))</f>
        <v/>
      </c>
      <c r="B72" s="59" t="str">
        <f>IF(E72="","",VLOOKUP('Opći dio'!$C$3,'Opći dio'!$L$6:$U$135,9,0))</f>
        <v/>
      </c>
      <c r="C72" s="60" t="str">
        <f t="shared" si="7"/>
        <v/>
      </c>
      <c r="D72" s="61" t="str">
        <f t="shared" si="8"/>
        <v/>
      </c>
      <c r="E72" s="62"/>
      <c r="F72" s="63" t="str">
        <f t="shared" si="9"/>
        <v/>
      </c>
      <c r="G72" s="64"/>
      <c r="H72" s="64"/>
      <c r="I72" s="64"/>
      <c r="K72" t="str">
        <f t="shared" si="10"/>
        <v/>
      </c>
      <c r="L72" t="str">
        <f t="shared" si="11"/>
        <v/>
      </c>
      <c r="R72" s="70">
        <v>812125000</v>
      </c>
      <c r="S72" s="70" t="s">
        <v>540</v>
      </c>
      <c r="T72" s="70">
        <v>81</v>
      </c>
      <c r="U72" s="70" t="s">
        <v>480</v>
      </c>
      <c r="V72" t="str">
        <f t="shared" si="6"/>
        <v>812</v>
      </c>
    </row>
    <row r="73" spans="1:22">
      <c r="A73" s="59" t="str">
        <f>IF(E73="","",VLOOKUP('Opći dio'!$C$3,'Opći dio'!$L$6:$U$135,10,0))</f>
        <v/>
      </c>
      <c r="B73" s="59" t="str">
        <f>IF(E73="","",VLOOKUP('Opći dio'!$C$3,'Opći dio'!$L$6:$U$135,9,0))</f>
        <v/>
      </c>
      <c r="C73" s="60" t="str">
        <f t="shared" si="7"/>
        <v/>
      </c>
      <c r="D73" s="61" t="str">
        <f t="shared" si="8"/>
        <v/>
      </c>
      <c r="E73" s="62"/>
      <c r="F73" s="63" t="str">
        <f t="shared" si="9"/>
        <v/>
      </c>
      <c r="G73" s="64"/>
      <c r="H73" s="64"/>
      <c r="I73" s="64"/>
      <c r="K73" t="str">
        <f t="shared" si="10"/>
        <v/>
      </c>
      <c r="L73" t="str">
        <f t="shared" si="11"/>
        <v/>
      </c>
      <c r="R73" s="70">
        <v>842220081</v>
      </c>
      <c r="S73" s="70" t="s">
        <v>541</v>
      </c>
      <c r="T73" s="70">
        <v>81</v>
      </c>
      <c r="U73" s="70" t="s">
        <v>480</v>
      </c>
      <c r="V73" t="str">
        <f t="shared" si="6"/>
        <v>842</v>
      </c>
    </row>
    <row r="74" spans="1:22">
      <c r="A74" s="59" t="str">
        <f>IF(E74="","",VLOOKUP('Opći dio'!$C$3,'Opći dio'!$L$6:$U$135,10,0))</f>
        <v/>
      </c>
      <c r="B74" s="59" t="str">
        <f>IF(E74="","",VLOOKUP('Opći dio'!$C$3,'Opći dio'!$L$6:$U$135,9,0))</f>
        <v/>
      </c>
      <c r="C74" s="60" t="str">
        <f t="shared" si="7"/>
        <v/>
      </c>
      <c r="D74" s="61" t="str">
        <f t="shared" si="8"/>
        <v/>
      </c>
      <c r="E74" s="62"/>
      <c r="F74" s="63" t="str">
        <f t="shared" si="9"/>
        <v/>
      </c>
      <c r="G74" s="64"/>
      <c r="H74" s="64"/>
      <c r="I74" s="64"/>
      <c r="K74" t="str">
        <f t="shared" si="10"/>
        <v/>
      </c>
      <c r="L74" t="str">
        <f t="shared" si="11"/>
        <v/>
      </c>
    </row>
    <row r="75" spans="1:22">
      <c r="A75" s="59" t="str">
        <f>IF(E75="","",VLOOKUP('Opći dio'!$C$3,'Opći dio'!$L$6:$U$135,10,0))</f>
        <v/>
      </c>
      <c r="B75" s="59" t="str">
        <f>IF(E75="","",VLOOKUP('Opći dio'!$C$3,'Opći dio'!$L$6:$U$135,9,0))</f>
        <v/>
      </c>
      <c r="C75" s="60" t="str">
        <f t="shared" si="7"/>
        <v/>
      </c>
      <c r="D75" s="61" t="str">
        <f t="shared" si="8"/>
        <v/>
      </c>
      <c r="E75" s="62"/>
      <c r="F75" s="63" t="str">
        <f t="shared" si="9"/>
        <v/>
      </c>
      <c r="G75" s="64"/>
      <c r="H75" s="64"/>
      <c r="I75" s="64"/>
      <c r="K75" t="str">
        <f t="shared" si="10"/>
        <v/>
      </c>
      <c r="L75" t="str">
        <f t="shared" si="11"/>
        <v/>
      </c>
    </row>
    <row r="76" spans="1:22">
      <c r="A76" s="59" t="str">
        <f>IF(E76="","",VLOOKUP('Opći dio'!$C$3,'Opći dio'!$L$6:$U$135,10,0))</f>
        <v/>
      </c>
      <c r="B76" s="59" t="str">
        <f>IF(E76="","",VLOOKUP('Opći dio'!$C$3,'Opći dio'!$L$6:$U$135,9,0))</f>
        <v/>
      </c>
      <c r="C76" s="60" t="str">
        <f t="shared" si="7"/>
        <v/>
      </c>
      <c r="D76" s="61" t="str">
        <f t="shared" si="8"/>
        <v/>
      </c>
      <c r="E76" s="62"/>
      <c r="F76" s="63" t="str">
        <f t="shared" si="9"/>
        <v/>
      </c>
      <c r="G76" s="64"/>
      <c r="H76" s="64"/>
      <c r="I76" s="64"/>
      <c r="K76" t="str">
        <f t="shared" si="10"/>
        <v/>
      </c>
      <c r="L76" t="str">
        <f t="shared" si="11"/>
        <v/>
      </c>
    </row>
    <row r="77" spans="1:22">
      <c r="A77" s="59" t="str">
        <f>IF(E77="","",VLOOKUP('Opći dio'!$C$3,'Opći dio'!$L$6:$U$135,10,0))</f>
        <v/>
      </c>
      <c r="B77" s="59" t="str">
        <f>IF(E77="","",VLOOKUP('Opći dio'!$C$3,'Opći dio'!$L$6:$U$135,9,0))</f>
        <v/>
      </c>
      <c r="C77" s="60" t="str">
        <f t="shared" si="7"/>
        <v/>
      </c>
      <c r="D77" s="61" t="str">
        <f t="shared" si="8"/>
        <v/>
      </c>
      <c r="E77" s="62"/>
      <c r="F77" s="63" t="str">
        <f t="shared" si="9"/>
        <v/>
      </c>
      <c r="G77" s="64"/>
      <c r="H77" s="64"/>
      <c r="I77" s="64"/>
      <c r="K77" t="str">
        <f t="shared" si="10"/>
        <v/>
      </c>
      <c r="L77" t="str">
        <f t="shared" si="11"/>
        <v/>
      </c>
    </row>
    <row r="78" spans="1:22">
      <c r="A78" s="59" t="str">
        <f>IF(E78="","",VLOOKUP('Opći dio'!$C$3,'Opći dio'!$L$6:$U$135,10,0))</f>
        <v/>
      </c>
      <c r="B78" s="59" t="str">
        <f>IF(E78="","",VLOOKUP('Opći dio'!$C$3,'Opći dio'!$L$6:$U$135,9,0))</f>
        <v/>
      </c>
      <c r="C78" s="60" t="str">
        <f t="shared" si="7"/>
        <v/>
      </c>
      <c r="D78" s="61" t="str">
        <f t="shared" si="8"/>
        <v/>
      </c>
      <c r="E78" s="62"/>
      <c r="F78" s="63" t="str">
        <f t="shared" si="9"/>
        <v/>
      </c>
      <c r="G78" s="64"/>
      <c r="H78" s="64"/>
      <c r="I78" s="64"/>
      <c r="K78" t="str">
        <f t="shared" si="10"/>
        <v/>
      </c>
      <c r="L78" t="str">
        <f t="shared" si="11"/>
        <v/>
      </c>
    </row>
    <row r="79" spans="1:22">
      <c r="A79" s="59" t="str">
        <f>IF(E79="","",VLOOKUP('Opći dio'!$C$3,'Opći dio'!$L$6:$U$135,10,0))</f>
        <v/>
      </c>
      <c r="B79" s="59" t="str">
        <f>IF(E79="","",VLOOKUP('Opći dio'!$C$3,'Opći dio'!$L$6:$U$135,9,0))</f>
        <v/>
      </c>
      <c r="C79" s="60" t="str">
        <f t="shared" si="7"/>
        <v/>
      </c>
      <c r="D79" s="61" t="str">
        <f t="shared" si="8"/>
        <v/>
      </c>
      <c r="E79" s="62"/>
      <c r="F79" s="63" t="str">
        <f t="shared" si="9"/>
        <v/>
      </c>
      <c r="G79" s="64"/>
      <c r="H79" s="64"/>
      <c r="I79" s="64"/>
      <c r="K79" t="str">
        <f t="shared" si="10"/>
        <v/>
      </c>
      <c r="L79" t="str">
        <f t="shared" si="11"/>
        <v/>
      </c>
    </row>
    <row r="80" spans="1:22">
      <c r="A80" s="59" t="str">
        <f>IF(E80="","",VLOOKUP('Opći dio'!$C$3,'Opći dio'!$L$6:$U$135,10,0))</f>
        <v/>
      </c>
      <c r="B80" s="59" t="str">
        <f>IF(E80="","",VLOOKUP('Opći dio'!$C$3,'Opći dio'!$L$6:$U$135,9,0))</f>
        <v/>
      </c>
      <c r="C80" s="60" t="str">
        <f t="shared" si="7"/>
        <v/>
      </c>
      <c r="D80" s="61" t="str">
        <f t="shared" si="8"/>
        <v/>
      </c>
      <c r="E80" s="62"/>
      <c r="F80" s="63" t="str">
        <f t="shared" si="9"/>
        <v/>
      </c>
      <c r="G80" s="64"/>
      <c r="H80" s="64"/>
      <c r="I80" s="64"/>
      <c r="K80" t="str">
        <f t="shared" si="10"/>
        <v/>
      </c>
      <c r="L80" t="str">
        <f t="shared" si="11"/>
        <v/>
      </c>
    </row>
    <row r="81" spans="1:12">
      <c r="A81" s="59" t="str">
        <f>IF(E81="","",VLOOKUP('Opći dio'!$C$3,'Opći dio'!$L$6:$U$135,10,0))</f>
        <v/>
      </c>
      <c r="B81" s="59" t="str">
        <f>IF(E81="","",VLOOKUP('Opći dio'!$C$3,'Opći dio'!$L$6:$U$135,9,0))</f>
        <v/>
      </c>
      <c r="C81" s="60" t="str">
        <f t="shared" si="7"/>
        <v/>
      </c>
      <c r="D81" s="61" t="str">
        <f t="shared" si="8"/>
        <v/>
      </c>
      <c r="E81" s="62"/>
      <c r="F81" s="63" t="str">
        <f t="shared" si="9"/>
        <v/>
      </c>
      <c r="G81" s="64"/>
      <c r="H81" s="64"/>
      <c r="I81" s="64"/>
      <c r="K81" t="str">
        <f t="shared" si="10"/>
        <v/>
      </c>
      <c r="L81" t="str">
        <f t="shared" si="11"/>
        <v/>
      </c>
    </row>
    <row r="82" spans="1:12">
      <c r="A82" s="59" t="str">
        <f>IF(E82="","",VLOOKUP('Opći dio'!$C$3,'Opći dio'!$L$6:$U$135,10,0))</f>
        <v/>
      </c>
      <c r="B82" s="59" t="str">
        <f>IF(E82="","",VLOOKUP('Opći dio'!$C$3,'Opći dio'!$L$6:$U$135,9,0))</f>
        <v/>
      </c>
      <c r="C82" s="60" t="str">
        <f t="shared" si="7"/>
        <v/>
      </c>
      <c r="D82" s="61" t="str">
        <f t="shared" si="8"/>
        <v/>
      </c>
      <c r="E82" s="62"/>
      <c r="F82" s="63" t="str">
        <f t="shared" si="9"/>
        <v/>
      </c>
      <c r="G82" s="64"/>
      <c r="H82" s="64"/>
      <c r="I82" s="64"/>
      <c r="K82" t="str">
        <f t="shared" si="10"/>
        <v/>
      </c>
      <c r="L82" t="str">
        <f t="shared" si="11"/>
        <v/>
      </c>
    </row>
    <row r="83" spans="1:12">
      <c r="A83" s="59" t="str">
        <f>IF(E83="","",VLOOKUP('Opći dio'!$C$3,'Opći dio'!$L$6:$U$135,10,0))</f>
        <v/>
      </c>
      <c r="B83" s="59" t="str">
        <f>IF(E83="","",VLOOKUP('Opći dio'!$C$3,'Opći dio'!$L$6:$U$135,9,0))</f>
        <v/>
      </c>
      <c r="C83" s="60" t="str">
        <f t="shared" si="7"/>
        <v/>
      </c>
      <c r="D83" s="61" t="str">
        <f t="shared" si="8"/>
        <v/>
      </c>
      <c r="E83" s="62"/>
      <c r="F83" s="63" t="str">
        <f t="shared" si="9"/>
        <v/>
      </c>
      <c r="G83" s="64"/>
      <c r="H83" s="64"/>
      <c r="I83" s="64"/>
      <c r="K83" t="str">
        <f t="shared" si="10"/>
        <v/>
      </c>
      <c r="L83" t="str">
        <f t="shared" si="11"/>
        <v/>
      </c>
    </row>
    <row r="84" spans="1:12">
      <c r="A84" s="59" t="str">
        <f>IF(E84="","",VLOOKUP('Opći dio'!$C$3,'Opći dio'!$L$6:$U$135,10,0))</f>
        <v/>
      </c>
      <c r="B84" s="59" t="str">
        <f>IF(E84="","",VLOOKUP('Opći dio'!$C$3,'Opći dio'!$L$6:$U$135,9,0))</f>
        <v/>
      </c>
      <c r="C84" s="60" t="str">
        <f t="shared" si="7"/>
        <v/>
      </c>
      <c r="D84" s="61" t="str">
        <f t="shared" si="8"/>
        <v/>
      </c>
      <c r="E84" s="62"/>
      <c r="F84" s="63" t="str">
        <f t="shared" si="9"/>
        <v/>
      </c>
      <c r="G84" s="64"/>
      <c r="H84" s="64"/>
      <c r="I84" s="64"/>
      <c r="K84" t="str">
        <f t="shared" si="10"/>
        <v/>
      </c>
      <c r="L84" t="str">
        <f t="shared" si="11"/>
        <v/>
      </c>
    </row>
    <row r="85" spans="1:12">
      <c r="A85" s="59" t="str">
        <f>IF(E85="","",VLOOKUP('Opći dio'!$C$3,'Opći dio'!$L$6:$U$135,10,0))</f>
        <v/>
      </c>
      <c r="B85" s="59" t="str">
        <f>IF(E85="","",VLOOKUP('Opći dio'!$C$3,'Opći dio'!$L$6:$U$135,9,0))</f>
        <v/>
      </c>
      <c r="C85" s="60" t="str">
        <f t="shared" si="7"/>
        <v/>
      </c>
      <c r="D85" s="61" t="str">
        <f t="shared" si="8"/>
        <v/>
      </c>
      <c r="E85" s="62"/>
      <c r="F85" s="63" t="str">
        <f t="shared" si="9"/>
        <v/>
      </c>
      <c r="G85" s="64"/>
      <c r="H85" s="64"/>
      <c r="I85" s="64"/>
      <c r="K85" t="str">
        <f t="shared" si="10"/>
        <v/>
      </c>
      <c r="L85" t="str">
        <f t="shared" si="11"/>
        <v/>
      </c>
    </row>
    <row r="86" spans="1:12">
      <c r="A86" s="59" t="str">
        <f>IF(E86="","",VLOOKUP('Opći dio'!$C$3,'Opći dio'!$L$6:$U$135,10,0))</f>
        <v/>
      </c>
      <c r="B86" s="59" t="str">
        <f>IF(E86="","",VLOOKUP('Opći dio'!$C$3,'Opći dio'!$L$6:$U$135,9,0))</f>
        <v/>
      </c>
      <c r="C86" s="60" t="str">
        <f t="shared" si="7"/>
        <v/>
      </c>
      <c r="D86" s="61" t="str">
        <f t="shared" si="8"/>
        <v/>
      </c>
      <c r="E86" s="62"/>
      <c r="F86" s="63" t="str">
        <f t="shared" si="9"/>
        <v/>
      </c>
      <c r="G86" s="64"/>
      <c r="H86" s="64"/>
      <c r="I86" s="64"/>
      <c r="K86" t="str">
        <f t="shared" si="10"/>
        <v/>
      </c>
      <c r="L86" t="str">
        <f t="shared" si="11"/>
        <v/>
      </c>
    </row>
    <row r="87" spans="1:12">
      <c r="A87" s="59" t="str">
        <f>IF(E87="","",VLOOKUP('Opći dio'!$C$3,'Opći dio'!$L$6:$U$135,10,0))</f>
        <v/>
      </c>
      <c r="B87" s="59" t="str">
        <f>IF(E87="","",VLOOKUP('Opći dio'!$C$3,'Opći dio'!$L$6:$U$135,9,0))</f>
        <v/>
      </c>
      <c r="C87" s="60" t="str">
        <f t="shared" si="7"/>
        <v/>
      </c>
      <c r="D87" s="61" t="str">
        <f t="shared" si="8"/>
        <v/>
      </c>
      <c r="E87" s="62"/>
      <c r="F87" s="63" t="str">
        <f t="shared" si="9"/>
        <v/>
      </c>
      <c r="G87" s="64"/>
      <c r="H87" s="64"/>
      <c r="I87" s="64"/>
      <c r="K87" t="str">
        <f t="shared" si="10"/>
        <v/>
      </c>
      <c r="L87" t="str">
        <f t="shared" si="11"/>
        <v/>
      </c>
    </row>
    <row r="88" spans="1:12">
      <c r="A88" s="59" t="str">
        <f>IF(E88="","",VLOOKUP('Opći dio'!$C$3,'Opći dio'!$L$6:$U$135,10,0))</f>
        <v/>
      </c>
      <c r="B88" s="59" t="str">
        <f>IF(E88="","",VLOOKUP('Opći dio'!$C$3,'Opći dio'!$L$6:$U$135,9,0))</f>
        <v/>
      </c>
      <c r="C88" s="60" t="str">
        <f t="shared" si="7"/>
        <v/>
      </c>
      <c r="D88" s="61" t="str">
        <f t="shared" si="8"/>
        <v/>
      </c>
      <c r="E88" s="62"/>
      <c r="F88" s="63" t="str">
        <f t="shared" si="9"/>
        <v/>
      </c>
      <c r="G88" s="64"/>
      <c r="H88" s="64"/>
      <c r="I88" s="64"/>
      <c r="K88" t="str">
        <f t="shared" si="10"/>
        <v/>
      </c>
      <c r="L88" t="str">
        <f t="shared" si="11"/>
        <v/>
      </c>
    </row>
    <row r="89" spans="1:12">
      <c r="A89" s="59" t="str">
        <f>IF(E89="","",VLOOKUP('Opći dio'!$C$3,'Opći dio'!$L$6:$U$135,10,0))</f>
        <v/>
      </c>
      <c r="B89" s="59" t="str">
        <f>IF(E89="","",VLOOKUP('Opći dio'!$C$3,'Opći dio'!$L$6:$U$135,9,0))</f>
        <v/>
      </c>
      <c r="C89" s="60" t="str">
        <f t="shared" si="7"/>
        <v/>
      </c>
      <c r="D89" s="61" t="str">
        <f t="shared" si="8"/>
        <v/>
      </c>
      <c r="E89" s="62"/>
      <c r="F89" s="63" t="str">
        <f t="shared" si="9"/>
        <v/>
      </c>
      <c r="G89" s="64"/>
      <c r="H89" s="64"/>
      <c r="I89" s="64"/>
      <c r="K89" t="str">
        <f t="shared" si="10"/>
        <v/>
      </c>
      <c r="L89" t="str">
        <f t="shared" si="11"/>
        <v/>
      </c>
    </row>
    <row r="90" spans="1:12">
      <c r="A90" s="59" t="str">
        <f>IF(E90="","",VLOOKUP('Opći dio'!$C$3,'Opći dio'!$L$6:$U$135,10,0))</f>
        <v/>
      </c>
      <c r="B90" s="59" t="str">
        <f>IF(E90="","",VLOOKUP('Opći dio'!$C$3,'Opći dio'!$L$6:$U$135,9,0))</f>
        <v/>
      </c>
      <c r="C90" s="60" t="str">
        <f t="shared" si="7"/>
        <v/>
      </c>
      <c r="D90" s="61" t="str">
        <f t="shared" si="8"/>
        <v/>
      </c>
      <c r="E90" s="62"/>
      <c r="F90" s="63" t="str">
        <f t="shared" si="9"/>
        <v/>
      </c>
      <c r="G90" s="64"/>
      <c r="H90" s="64"/>
      <c r="I90" s="64"/>
      <c r="K90" t="str">
        <f t="shared" si="10"/>
        <v/>
      </c>
      <c r="L90" t="str">
        <f t="shared" si="11"/>
        <v/>
      </c>
    </row>
    <row r="91" spans="1:12">
      <c r="A91" s="59" t="str">
        <f>IF(E91="","",VLOOKUP('Opći dio'!$C$3,'Opći dio'!$L$6:$U$135,10,0))</f>
        <v/>
      </c>
      <c r="B91" s="59" t="str">
        <f>IF(E91="","",VLOOKUP('Opći dio'!$C$3,'Opći dio'!$L$6:$U$135,9,0))</f>
        <v/>
      </c>
      <c r="C91" s="60" t="str">
        <f t="shared" si="7"/>
        <v/>
      </c>
      <c r="D91" s="61" t="str">
        <f t="shared" si="8"/>
        <v/>
      </c>
      <c r="E91" s="62"/>
      <c r="F91" s="63" t="str">
        <f t="shared" si="9"/>
        <v/>
      </c>
      <c r="G91" s="64"/>
      <c r="H91" s="64"/>
      <c r="I91" s="64"/>
      <c r="K91" t="str">
        <f t="shared" si="10"/>
        <v/>
      </c>
      <c r="L91" t="str">
        <f t="shared" si="11"/>
        <v/>
      </c>
    </row>
    <row r="92" spans="1:12">
      <c r="A92" s="59" t="str">
        <f>IF(E92="","",VLOOKUP('Opći dio'!$C$3,'Opći dio'!$L$6:$U$135,10,0))</f>
        <v/>
      </c>
      <c r="B92" s="59" t="str">
        <f>IF(E92="","",VLOOKUP('Opći dio'!$C$3,'Opći dio'!$L$6:$U$135,9,0))</f>
        <v/>
      </c>
      <c r="C92" s="60" t="str">
        <f t="shared" si="7"/>
        <v/>
      </c>
      <c r="D92" s="61" t="str">
        <f t="shared" si="8"/>
        <v/>
      </c>
      <c r="E92" s="62"/>
      <c r="F92" s="63" t="str">
        <f t="shared" si="9"/>
        <v/>
      </c>
      <c r="G92" s="64"/>
      <c r="H92" s="64"/>
      <c r="I92" s="64"/>
      <c r="K92" t="str">
        <f t="shared" si="10"/>
        <v/>
      </c>
      <c r="L92" t="str">
        <f t="shared" si="11"/>
        <v/>
      </c>
    </row>
    <row r="93" spans="1:12">
      <c r="A93" s="59" t="str">
        <f>IF(E93="","",VLOOKUP('Opći dio'!$C$3,'Opći dio'!$L$6:$U$135,10,0))</f>
        <v/>
      </c>
      <c r="B93" s="59" t="str">
        <f>IF(E93="","",VLOOKUP('Opći dio'!$C$3,'Opći dio'!$L$6:$U$135,9,0))</f>
        <v/>
      </c>
      <c r="C93" s="60" t="str">
        <f t="shared" si="7"/>
        <v/>
      </c>
      <c r="D93" s="61" t="str">
        <f t="shared" si="8"/>
        <v/>
      </c>
      <c r="E93" s="62"/>
      <c r="F93" s="63" t="str">
        <f t="shared" si="9"/>
        <v/>
      </c>
      <c r="G93" s="64"/>
      <c r="H93" s="64"/>
      <c r="I93" s="64"/>
      <c r="K93" t="str">
        <f t="shared" si="10"/>
        <v/>
      </c>
      <c r="L93" t="str">
        <f t="shared" si="11"/>
        <v/>
      </c>
    </row>
    <row r="94" spans="1:12">
      <c r="A94" s="59" t="str">
        <f>IF(E94="","",VLOOKUP('Opći dio'!$C$3,'Opći dio'!$L$6:$U$135,10,0))</f>
        <v/>
      </c>
      <c r="B94" s="59" t="str">
        <f>IF(E94="","",VLOOKUP('Opći dio'!$C$3,'Opći dio'!$L$6:$U$135,9,0))</f>
        <v/>
      </c>
      <c r="C94" s="60" t="str">
        <f t="shared" si="7"/>
        <v/>
      </c>
      <c r="D94" s="61" t="str">
        <f t="shared" si="8"/>
        <v/>
      </c>
      <c r="E94" s="62"/>
      <c r="F94" s="63" t="str">
        <f t="shared" si="9"/>
        <v/>
      </c>
      <c r="G94" s="64"/>
      <c r="H94" s="64"/>
      <c r="I94" s="64"/>
      <c r="K94" t="str">
        <f t="shared" si="10"/>
        <v/>
      </c>
      <c r="L94" t="str">
        <f t="shared" si="11"/>
        <v/>
      </c>
    </row>
    <row r="95" spans="1:12">
      <c r="A95" s="59" t="str">
        <f>IF(E95="","",VLOOKUP('Opći dio'!$C$3,'Opći dio'!$L$6:$U$135,10,0))</f>
        <v/>
      </c>
      <c r="B95" s="59" t="str">
        <f>IF(E95="","",VLOOKUP('Opći dio'!$C$3,'Opći dio'!$L$6:$U$135,9,0))</f>
        <v/>
      </c>
      <c r="C95" s="60" t="str">
        <f t="shared" si="7"/>
        <v/>
      </c>
      <c r="D95" s="61" t="str">
        <f t="shared" si="8"/>
        <v/>
      </c>
      <c r="E95" s="62"/>
      <c r="F95" s="63" t="str">
        <f t="shared" si="9"/>
        <v/>
      </c>
      <c r="G95" s="64"/>
      <c r="H95" s="64"/>
      <c r="I95" s="64"/>
      <c r="K95" t="str">
        <f t="shared" si="10"/>
        <v/>
      </c>
      <c r="L95" t="str">
        <f t="shared" si="11"/>
        <v/>
      </c>
    </row>
    <row r="96" spans="1:12">
      <c r="A96" s="59" t="str">
        <f>IF(E96="","",VLOOKUP('Opći dio'!$C$3,'Opći dio'!$L$6:$U$135,10,0))</f>
        <v/>
      </c>
      <c r="B96" s="59" t="str">
        <f>IF(E96="","",VLOOKUP('Opći dio'!$C$3,'Opći dio'!$L$6:$U$135,9,0))</f>
        <v/>
      </c>
      <c r="C96" s="60" t="str">
        <f t="shared" si="7"/>
        <v/>
      </c>
      <c r="D96" s="61" t="str">
        <f t="shared" si="8"/>
        <v/>
      </c>
      <c r="E96" s="62"/>
      <c r="F96" s="63" t="str">
        <f t="shared" si="9"/>
        <v/>
      </c>
      <c r="G96" s="64"/>
      <c r="H96" s="64"/>
      <c r="I96" s="64"/>
      <c r="K96" t="str">
        <f t="shared" si="10"/>
        <v/>
      </c>
      <c r="L96" t="str">
        <f t="shared" si="11"/>
        <v/>
      </c>
    </row>
    <row r="97" spans="1:12">
      <c r="A97" s="59" t="str">
        <f>IF(E97="","",VLOOKUP('Opći dio'!$C$3,'Opći dio'!$L$6:$U$135,10,0))</f>
        <v/>
      </c>
      <c r="B97" s="59" t="str">
        <f>IF(E97="","",VLOOKUP('Opći dio'!$C$3,'Opći dio'!$L$6:$U$135,9,0))</f>
        <v/>
      </c>
      <c r="C97" s="60" t="str">
        <f t="shared" si="7"/>
        <v/>
      </c>
      <c r="D97" s="61" t="str">
        <f t="shared" si="8"/>
        <v/>
      </c>
      <c r="E97" s="62"/>
      <c r="F97" s="63" t="str">
        <f t="shared" si="9"/>
        <v/>
      </c>
      <c r="G97" s="64"/>
      <c r="H97" s="64"/>
      <c r="I97" s="64"/>
      <c r="K97" t="str">
        <f t="shared" si="10"/>
        <v/>
      </c>
      <c r="L97" t="str">
        <f t="shared" si="11"/>
        <v/>
      </c>
    </row>
    <row r="98" spans="1:12">
      <c r="A98" s="59" t="str">
        <f>IF(E98="","",VLOOKUP('Opći dio'!$C$3,'Opći dio'!$L$6:$U$135,10,0))</f>
        <v/>
      </c>
      <c r="B98" s="59" t="str">
        <f>IF(E98="","",VLOOKUP('Opći dio'!$C$3,'Opći dio'!$L$6:$U$135,9,0))</f>
        <v/>
      </c>
      <c r="C98" s="60" t="str">
        <f t="shared" si="7"/>
        <v/>
      </c>
      <c r="D98" s="61" t="str">
        <f t="shared" si="8"/>
        <v/>
      </c>
      <c r="E98" s="62"/>
      <c r="F98" s="63" t="str">
        <f t="shared" si="9"/>
        <v/>
      </c>
      <c r="G98" s="64"/>
      <c r="H98" s="64"/>
      <c r="I98" s="64"/>
      <c r="K98" t="str">
        <f t="shared" si="10"/>
        <v/>
      </c>
      <c r="L98" t="str">
        <f t="shared" si="11"/>
        <v/>
      </c>
    </row>
    <row r="99" spans="1:12">
      <c r="A99" s="59" t="str">
        <f>IF(E99="","",VLOOKUP('Opći dio'!$C$3,'Opći dio'!$L$6:$U$135,10,0))</f>
        <v/>
      </c>
      <c r="B99" s="59" t="str">
        <f>IF(E99="","",VLOOKUP('Opći dio'!$C$3,'Opći dio'!$L$6:$U$135,9,0))</f>
        <v/>
      </c>
      <c r="C99" s="60" t="str">
        <f t="shared" si="7"/>
        <v/>
      </c>
      <c r="D99" s="61" t="str">
        <f t="shared" si="8"/>
        <v/>
      </c>
      <c r="E99" s="62"/>
      <c r="F99" s="63" t="str">
        <f t="shared" si="9"/>
        <v/>
      </c>
      <c r="G99" s="64"/>
      <c r="H99" s="64"/>
      <c r="I99" s="64"/>
      <c r="K99" t="str">
        <f t="shared" si="10"/>
        <v/>
      </c>
      <c r="L99" t="str">
        <f t="shared" si="11"/>
        <v/>
      </c>
    </row>
    <row r="100" spans="1:12">
      <c r="A100" s="59" t="str">
        <f>IF(E100="","",VLOOKUP('Opći dio'!$C$3,'Opći dio'!$L$6:$U$135,10,0))</f>
        <v/>
      </c>
      <c r="B100" s="59" t="str">
        <f>IF(E100="","",VLOOKUP('Opći dio'!$C$3,'Opći dio'!$L$6:$U$135,9,0))</f>
        <v/>
      </c>
      <c r="C100" s="60" t="str">
        <f t="shared" si="7"/>
        <v/>
      </c>
      <c r="D100" s="61" t="str">
        <f t="shared" si="8"/>
        <v/>
      </c>
      <c r="E100" s="62"/>
      <c r="F100" s="63" t="str">
        <f t="shared" si="9"/>
        <v/>
      </c>
      <c r="G100" s="64"/>
      <c r="H100" s="64"/>
      <c r="I100" s="64"/>
      <c r="K100" t="str">
        <f t="shared" si="10"/>
        <v/>
      </c>
      <c r="L100" t="str">
        <f t="shared" si="11"/>
        <v/>
      </c>
    </row>
    <row r="101" spans="1:12">
      <c r="A101" s="59" t="str">
        <f>IF(E101="","",VLOOKUP('Opći dio'!$C$3,'Opći dio'!$L$6:$U$135,10,0))</f>
        <v/>
      </c>
      <c r="B101" s="59" t="str">
        <f>IF(E101="","",VLOOKUP('Opći dio'!$C$3,'Opći dio'!$L$6:$U$135,9,0))</f>
        <v/>
      </c>
      <c r="C101" s="60" t="str">
        <f t="shared" si="7"/>
        <v/>
      </c>
      <c r="D101" s="61" t="str">
        <f t="shared" si="8"/>
        <v/>
      </c>
      <c r="E101" s="62"/>
      <c r="F101" s="63" t="str">
        <f t="shared" si="9"/>
        <v/>
      </c>
      <c r="G101" s="64"/>
      <c r="H101" s="64"/>
      <c r="I101" s="64"/>
      <c r="K101" t="str">
        <f t="shared" si="10"/>
        <v/>
      </c>
      <c r="L101" t="str">
        <f t="shared" si="11"/>
        <v/>
      </c>
    </row>
    <row r="102" spans="1:12">
      <c r="A102" s="59" t="str">
        <f>IF(E102="","",VLOOKUP('Opći dio'!$C$3,'Opći dio'!$L$6:$U$135,10,0))</f>
        <v/>
      </c>
      <c r="B102" s="59" t="str">
        <f>IF(E102="","",VLOOKUP('Opći dio'!$C$3,'Opći dio'!$L$6:$U$135,9,0))</f>
        <v/>
      </c>
      <c r="C102" s="60" t="str">
        <f t="shared" si="7"/>
        <v/>
      </c>
      <c r="D102" s="61" t="str">
        <f t="shared" si="8"/>
        <v/>
      </c>
      <c r="E102" s="62"/>
      <c r="F102" s="63" t="str">
        <f t="shared" si="9"/>
        <v/>
      </c>
      <c r="G102" s="64"/>
      <c r="H102" s="64"/>
      <c r="I102" s="64"/>
      <c r="K102" t="str">
        <f t="shared" si="10"/>
        <v/>
      </c>
      <c r="L102" t="str">
        <f t="shared" si="11"/>
        <v/>
      </c>
    </row>
    <row r="103" spans="1:12">
      <c r="A103" s="59" t="str">
        <f>IF(E103="","",VLOOKUP('Opći dio'!$C$3,'Opći dio'!$L$6:$U$135,10,0))</f>
        <v/>
      </c>
      <c r="B103" s="59" t="str">
        <f>IF(E103="","",VLOOKUP('Opći dio'!$C$3,'Opći dio'!$L$6:$U$135,9,0))</f>
        <v/>
      </c>
      <c r="C103" s="60" t="str">
        <f t="shared" si="7"/>
        <v/>
      </c>
      <c r="D103" s="61" t="str">
        <f t="shared" si="8"/>
        <v/>
      </c>
      <c r="E103" s="62"/>
      <c r="F103" s="63" t="str">
        <f t="shared" si="9"/>
        <v/>
      </c>
      <c r="G103" s="64"/>
      <c r="H103" s="64"/>
      <c r="I103" s="64"/>
      <c r="K103" t="str">
        <f t="shared" si="10"/>
        <v/>
      </c>
      <c r="L103" t="str">
        <f t="shared" si="11"/>
        <v/>
      </c>
    </row>
    <row r="104" spans="1:12">
      <c r="A104" s="59" t="str">
        <f>IF(E104="","",VLOOKUP('Opći dio'!$C$3,'Opći dio'!$L$6:$U$135,10,0))</f>
        <v/>
      </c>
      <c r="B104" s="59" t="str">
        <f>IF(E104="","",VLOOKUP('Opći dio'!$C$3,'Opći dio'!$L$6:$U$135,9,0))</f>
        <v/>
      </c>
      <c r="C104" s="60" t="str">
        <f t="shared" si="7"/>
        <v/>
      </c>
      <c r="D104" s="61" t="str">
        <f t="shared" si="8"/>
        <v/>
      </c>
      <c r="E104" s="62"/>
      <c r="F104" s="63" t="str">
        <f t="shared" si="9"/>
        <v/>
      </c>
      <c r="G104" s="64"/>
      <c r="H104" s="64"/>
      <c r="I104" s="64"/>
      <c r="K104" t="str">
        <f t="shared" si="10"/>
        <v/>
      </c>
      <c r="L104" t="str">
        <f t="shared" si="11"/>
        <v/>
      </c>
    </row>
    <row r="105" spans="1:12">
      <c r="A105" s="59" t="str">
        <f>IF(E105="","",VLOOKUP('Opći dio'!$C$3,'Opći dio'!$L$6:$U$135,10,0))</f>
        <v/>
      </c>
      <c r="B105" s="59" t="str">
        <f>IF(E105="","",VLOOKUP('Opći dio'!$C$3,'Opći dio'!$L$6:$U$135,9,0))</f>
        <v/>
      </c>
      <c r="C105" s="60" t="str">
        <f t="shared" si="7"/>
        <v/>
      </c>
      <c r="D105" s="61" t="str">
        <f t="shared" si="8"/>
        <v/>
      </c>
      <c r="E105" s="62"/>
      <c r="F105" s="63" t="str">
        <f t="shared" si="9"/>
        <v/>
      </c>
      <c r="G105" s="64"/>
      <c r="H105" s="64"/>
      <c r="I105" s="64"/>
      <c r="K105" t="str">
        <f t="shared" si="10"/>
        <v/>
      </c>
      <c r="L105" t="str">
        <f t="shared" si="11"/>
        <v/>
      </c>
    </row>
    <row r="106" spans="1:12">
      <c r="A106" s="59" t="str">
        <f>IF(E106="","",VLOOKUP('Opći dio'!$C$3,'Opći dio'!$L$6:$U$135,10,0))</f>
        <v/>
      </c>
      <c r="B106" s="59" t="str">
        <f>IF(E106="","",VLOOKUP('Opći dio'!$C$3,'Opći dio'!$L$6:$U$135,9,0))</f>
        <v/>
      </c>
      <c r="C106" s="60" t="str">
        <f t="shared" si="7"/>
        <v/>
      </c>
      <c r="D106" s="61" t="str">
        <f t="shared" si="8"/>
        <v/>
      </c>
      <c r="E106" s="62"/>
      <c r="F106" s="63" t="str">
        <f t="shared" si="9"/>
        <v/>
      </c>
      <c r="G106" s="64"/>
      <c r="H106" s="64"/>
      <c r="I106" s="64"/>
      <c r="K106" t="str">
        <f t="shared" si="10"/>
        <v/>
      </c>
      <c r="L106" t="str">
        <f t="shared" si="11"/>
        <v/>
      </c>
    </row>
    <row r="107" spans="1:12">
      <c r="A107" s="59" t="str">
        <f>IF(E107="","",VLOOKUP('Opći dio'!$C$3,'Opći dio'!$L$6:$U$135,10,0))</f>
        <v/>
      </c>
      <c r="B107" s="59" t="str">
        <f>IF(E107="","",VLOOKUP('Opći dio'!$C$3,'Opći dio'!$L$6:$U$135,9,0))</f>
        <v/>
      </c>
      <c r="C107" s="60" t="str">
        <f t="shared" si="7"/>
        <v/>
      </c>
      <c r="D107" s="61" t="str">
        <f t="shared" si="8"/>
        <v/>
      </c>
      <c r="E107" s="62"/>
      <c r="F107" s="63" t="str">
        <f t="shared" si="9"/>
        <v/>
      </c>
      <c r="G107" s="64"/>
      <c r="H107" s="64"/>
      <c r="I107" s="64"/>
      <c r="K107" t="str">
        <f t="shared" si="10"/>
        <v/>
      </c>
      <c r="L107" t="str">
        <f t="shared" si="11"/>
        <v/>
      </c>
    </row>
    <row r="108" spans="1:12">
      <c r="A108" s="59" t="str">
        <f>IF(E108="","",VLOOKUP('Opći dio'!$C$3,'Opći dio'!$L$6:$U$135,10,0))</f>
        <v/>
      </c>
      <c r="B108" s="59" t="str">
        <f>IF(E108="","",VLOOKUP('Opći dio'!$C$3,'Opći dio'!$L$6:$U$135,9,0))</f>
        <v/>
      </c>
      <c r="C108" s="60" t="str">
        <f t="shared" si="7"/>
        <v/>
      </c>
      <c r="D108" s="61" t="str">
        <f t="shared" si="8"/>
        <v/>
      </c>
      <c r="E108" s="62"/>
      <c r="F108" s="63" t="str">
        <f t="shared" si="9"/>
        <v/>
      </c>
      <c r="G108" s="64"/>
      <c r="H108" s="64"/>
      <c r="I108" s="64"/>
      <c r="K108" t="str">
        <f t="shared" si="10"/>
        <v/>
      </c>
      <c r="L108" t="str">
        <f t="shared" si="11"/>
        <v/>
      </c>
    </row>
    <row r="109" spans="1:12">
      <c r="A109" s="59" t="str">
        <f>IF(E109="","",VLOOKUP('Opći dio'!$C$3,'Opći dio'!$L$6:$U$135,10,0))</f>
        <v/>
      </c>
      <c r="B109" s="59" t="str">
        <f>IF(E109="","",VLOOKUP('Opći dio'!$C$3,'Opći dio'!$L$6:$U$135,9,0))</f>
        <v/>
      </c>
      <c r="C109" s="60" t="str">
        <f t="shared" si="7"/>
        <v/>
      </c>
      <c r="D109" s="61" t="str">
        <f t="shared" si="8"/>
        <v/>
      </c>
      <c r="E109" s="62"/>
      <c r="F109" s="63" t="str">
        <f t="shared" si="9"/>
        <v/>
      </c>
      <c r="G109" s="64"/>
      <c r="H109" s="64"/>
      <c r="I109" s="64"/>
      <c r="K109" t="str">
        <f t="shared" si="10"/>
        <v/>
      </c>
      <c r="L109" t="str">
        <f t="shared" si="11"/>
        <v/>
      </c>
    </row>
    <row r="110" spans="1:12">
      <c r="A110" s="59" t="str">
        <f>IF(E110="","",VLOOKUP('Opći dio'!$C$3,'Opći dio'!$L$6:$U$135,10,0))</f>
        <v/>
      </c>
      <c r="B110" s="59" t="str">
        <f>IF(E110="","",VLOOKUP('Opći dio'!$C$3,'Opći dio'!$L$6:$U$135,9,0))</f>
        <v/>
      </c>
      <c r="C110" s="60" t="str">
        <f t="shared" si="7"/>
        <v/>
      </c>
      <c r="D110" s="61" t="str">
        <f t="shared" si="8"/>
        <v/>
      </c>
      <c r="E110" s="62"/>
      <c r="F110" s="63" t="str">
        <f t="shared" si="9"/>
        <v/>
      </c>
      <c r="G110" s="64"/>
      <c r="H110" s="64"/>
      <c r="I110" s="64"/>
      <c r="K110" t="str">
        <f t="shared" si="10"/>
        <v/>
      </c>
      <c r="L110" t="str">
        <f t="shared" si="11"/>
        <v/>
      </c>
    </row>
    <row r="111" spans="1:12">
      <c r="A111" s="59" t="str">
        <f>IF(E111="","",VLOOKUP('Opći dio'!$C$3,'Opći dio'!$L$6:$U$135,10,0))</f>
        <v/>
      </c>
      <c r="B111" s="59" t="str">
        <f>IF(E111="","",VLOOKUP('Opći dio'!$C$3,'Opći dio'!$L$6:$U$135,9,0))</f>
        <v/>
      </c>
      <c r="C111" s="60" t="str">
        <f t="shared" si="7"/>
        <v/>
      </c>
      <c r="D111" s="61" t="str">
        <f t="shared" si="8"/>
        <v/>
      </c>
      <c r="E111" s="62"/>
      <c r="F111" s="63" t="str">
        <f t="shared" si="9"/>
        <v/>
      </c>
      <c r="G111" s="64"/>
      <c r="H111" s="64"/>
      <c r="I111" s="64"/>
      <c r="K111" t="str">
        <f t="shared" si="10"/>
        <v/>
      </c>
      <c r="L111" t="str">
        <f t="shared" si="11"/>
        <v/>
      </c>
    </row>
    <row r="112" spans="1:12">
      <c r="A112" s="59" t="str">
        <f>IF(E112="","",VLOOKUP('Opći dio'!$C$3,'Opći dio'!$L$6:$U$135,10,0))</f>
        <v/>
      </c>
      <c r="B112" s="59" t="str">
        <f>IF(E112="","",VLOOKUP('Opći dio'!$C$3,'Opći dio'!$L$6:$U$135,9,0))</f>
        <v/>
      </c>
      <c r="C112" s="60" t="str">
        <f t="shared" si="7"/>
        <v/>
      </c>
      <c r="D112" s="61" t="str">
        <f t="shared" si="8"/>
        <v/>
      </c>
      <c r="E112" s="62"/>
      <c r="F112" s="63" t="str">
        <f t="shared" si="9"/>
        <v/>
      </c>
      <c r="G112" s="64"/>
      <c r="H112" s="64"/>
      <c r="I112" s="64"/>
      <c r="K112" t="str">
        <f t="shared" si="10"/>
        <v/>
      </c>
      <c r="L112" t="str">
        <f t="shared" si="11"/>
        <v/>
      </c>
    </row>
    <row r="113" spans="1:12">
      <c r="A113" s="59" t="str">
        <f>IF(E113="","",VLOOKUP('Opći dio'!$C$3,'Opći dio'!$L$6:$U$135,10,0))</f>
        <v/>
      </c>
      <c r="B113" s="59" t="str">
        <f>IF(E113="","",VLOOKUP('Opći dio'!$C$3,'Opći dio'!$L$6:$U$135,9,0))</f>
        <v/>
      </c>
      <c r="C113" s="60" t="str">
        <f t="shared" si="7"/>
        <v/>
      </c>
      <c r="D113" s="61" t="str">
        <f t="shared" si="8"/>
        <v/>
      </c>
      <c r="E113" s="62"/>
      <c r="F113" s="63" t="str">
        <f t="shared" si="9"/>
        <v/>
      </c>
      <c r="G113" s="64"/>
      <c r="H113" s="64"/>
      <c r="I113" s="64"/>
      <c r="K113" t="str">
        <f t="shared" si="10"/>
        <v/>
      </c>
      <c r="L113" t="str">
        <f t="shared" si="11"/>
        <v/>
      </c>
    </row>
    <row r="114" spans="1:12">
      <c r="A114" s="59" t="str">
        <f>IF(E114="","",VLOOKUP('Opći dio'!$C$3,'Opći dio'!$L$6:$U$135,10,0))</f>
        <v/>
      </c>
      <c r="B114" s="59" t="str">
        <f>IF(E114="","",VLOOKUP('Opći dio'!$C$3,'Opći dio'!$L$6:$U$135,9,0))</f>
        <v/>
      </c>
      <c r="C114" s="60" t="str">
        <f t="shared" si="7"/>
        <v/>
      </c>
      <c r="D114" s="61" t="str">
        <f t="shared" si="8"/>
        <v/>
      </c>
      <c r="E114" s="62"/>
      <c r="F114" s="63" t="str">
        <f t="shared" si="9"/>
        <v/>
      </c>
      <c r="G114" s="64"/>
      <c r="H114" s="64"/>
      <c r="I114" s="64"/>
      <c r="K114" t="str">
        <f t="shared" si="10"/>
        <v/>
      </c>
      <c r="L114" t="str">
        <f t="shared" si="11"/>
        <v/>
      </c>
    </row>
    <row r="115" spans="1:12">
      <c r="A115" s="59" t="str">
        <f>IF(E115="","",VLOOKUP('Opći dio'!$C$3,'Opći dio'!$L$6:$U$135,10,0))</f>
        <v/>
      </c>
      <c r="B115" s="59" t="str">
        <f>IF(E115="","",VLOOKUP('Opći dio'!$C$3,'Opći dio'!$L$6:$U$135,9,0))</f>
        <v/>
      </c>
      <c r="C115" s="60" t="str">
        <f t="shared" si="7"/>
        <v/>
      </c>
      <c r="D115" s="61" t="str">
        <f t="shared" si="8"/>
        <v/>
      </c>
      <c r="E115" s="62"/>
      <c r="F115" s="63" t="str">
        <f t="shared" si="9"/>
        <v/>
      </c>
      <c r="G115" s="64"/>
      <c r="H115" s="64"/>
      <c r="I115" s="64"/>
      <c r="K115" t="str">
        <f t="shared" si="10"/>
        <v/>
      </c>
      <c r="L115" t="str">
        <f t="shared" si="11"/>
        <v/>
      </c>
    </row>
    <row r="116" spans="1:12">
      <c r="A116" s="59" t="str">
        <f>IF(E116="","",VLOOKUP('Opći dio'!$C$3,'Opći dio'!$L$6:$U$135,10,0))</f>
        <v/>
      </c>
      <c r="B116" s="59" t="str">
        <f>IF(E116="","",VLOOKUP('Opći dio'!$C$3,'Opći dio'!$L$6:$U$135,9,0))</f>
        <v/>
      </c>
      <c r="C116" s="60" t="str">
        <f t="shared" si="7"/>
        <v/>
      </c>
      <c r="D116" s="61" t="str">
        <f t="shared" si="8"/>
        <v/>
      </c>
      <c r="E116" s="62"/>
      <c r="F116" s="63" t="str">
        <f t="shared" si="9"/>
        <v/>
      </c>
      <c r="G116" s="64"/>
      <c r="H116" s="64"/>
      <c r="I116" s="64"/>
      <c r="K116" t="str">
        <f t="shared" si="10"/>
        <v/>
      </c>
      <c r="L116" t="str">
        <f t="shared" si="11"/>
        <v/>
      </c>
    </row>
    <row r="117" spans="1:12">
      <c r="A117" s="59" t="str">
        <f>IF(E117="","",VLOOKUP('Opći dio'!$C$3,'Opći dio'!$L$6:$U$135,10,0))</f>
        <v/>
      </c>
      <c r="B117" s="59" t="str">
        <f>IF(E117="","",VLOOKUP('Opći dio'!$C$3,'Opći dio'!$L$6:$U$135,9,0))</f>
        <v/>
      </c>
      <c r="C117" s="60" t="str">
        <f t="shared" si="7"/>
        <v/>
      </c>
      <c r="D117" s="61" t="str">
        <f t="shared" si="8"/>
        <v/>
      </c>
      <c r="E117" s="62"/>
      <c r="F117" s="63" t="str">
        <f t="shared" si="9"/>
        <v/>
      </c>
      <c r="G117" s="64"/>
      <c r="H117" s="64"/>
      <c r="I117" s="64"/>
      <c r="K117" t="str">
        <f t="shared" si="10"/>
        <v/>
      </c>
      <c r="L117" t="str">
        <f t="shared" si="11"/>
        <v/>
      </c>
    </row>
    <row r="118" spans="1:12">
      <c r="A118" s="59" t="str">
        <f>IF(E118="","",VLOOKUP('Opći dio'!$C$3,'Opći dio'!$L$6:$U$135,10,0))</f>
        <v/>
      </c>
      <c r="B118" s="59" t="str">
        <f>IF(E118="","",VLOOKUP('Opći dio'!$C$3,'Opći dio'!$L$6:$U$135,9,0))</f>
        <v/>
      </c>
      <c r="C118" s="60" t="str">
        <f t="shared" si="7"/>
        <v/>
      </c>
      <c r="D118" s="61" t="str">
        <f t="shared" si="8"/>
        <v/>
      </c>
      <c r="E118" s="62"/>
      <c r="F118" s="63" t="str">
        <f t="shared" si="9"/>
        <v/>
      </c>
      <c r="G118" s="64"/>
      <c r="H118" s="64"/>
      <c r="I118" s="64"/>
      <c r="K118" t="str">
        <f t="shared" si="10"/>
        <v/>
      </c>
      <c r="L118" t="str">
        <f t="shared" si="11"/>
        <v/>
      </c>
    </row>
    <row r="119" spans="1:12">
      <c r="A119" s="59" t="str">
        <f>IF(E119="","",VLOOKUP('Opći dio'!$C$3,'Opći dio'!$L$6:$U$135,10,0))</f>
        <v/>
      </c>
      <c r="B119" s="59" t="str">
        <f>IF(E119="","",VLOOKUP('Opći dio'!$C$3,'Opći dio'!$L$6:$U$135,9,0))</f>
        <v/>
      </c>
      <c r="C119" s="60" t="str">
        <f t="shared" si="7"/>
        <v/>
      </c>
      <c r="D119" s="61" t="str">
        <f t="shared" si="8"/>
        <v/>
      </c>
      <c r="E119" s="62"/>
      <c r="F119" s="63" t="str">
        <f t="shared" si="9"/>
        <v/>
      </c>
      <c r="G119" s="64"/>
      <c r="H119" s="64"/>
      <c r="I119" s="64"/>
      <c r="K119" t="str">
        <f t="shared" si="10"/>
        <v/>
      </c>
      <c r="L119" t="str">
        <f t="shared" si="11"/>
        <v/>
      </c>
    </row>
    <row r="120" spans="1:12">
      <c r="A120" s="59" t="str">
        <f>IF(E120="","",VLOOKUP('Opći dio'!$C$3,'Opći dio'!$L$6:$U$135,10,0))</f>
        <v/>
      </c>
      <c r="B120" s="59" t="str">
        <f>IF(E120="","",VLOOKUP('Opći dio'!$C$3,'Opći dio'!$L$6:$U$135,9,0))</f>
        <v/>
      </c>
      <c r="C120" s="60" t="str">
        <f t="shared" si="7"/>
        <v/>
      </c>
      <c r="D120" s="61" t="str">
        <f t="shared" si="8"/>
        <v/>
      </c>
      <c r="E120" s="62"/>
      <c r="F120" s="63" t="str">
        <f t="shared" si="9"/>
        <v/>
      </c>
      <c r="G120" s="64"/>
      <c r="H120" s="64"/>
      <c r="I120" s="64"/>
      <c r="K120" t="str">
        <f t="shared" si="10"/>
        <v/>
      </c>
      <c r="L120" t="str">
        <f t="shared" si="11"/>
        <v/>
      </c>
    </row>
    <row r="121" spans="1:12">
      <c r="A121" s="59" t="str">
        <f>IF(E121="","",VLOOKUP('Opći dio'!$C$3,'Opći dio'!$L$6:$U$135,10,0))</f>
        <v/>
      </c>
      <c r="B121" s="59" t="str">
        <f>IF(E121="","",VLOOKUP('Opći dio'!$C$3,'Opći dio'!$L$6:$U$135,9,0))</f>
        <v/>
      </c>
      <c r="C121" s="60" t="str">
        <f t="shared" si="7"/>
        <v/>
      </c>
      <c r="D121" s="61" t="str">
        <f t="shared" si="8"/>
        <v/>
      </c>
      <c r="E121" s="62"/>
      <c r="F121" s="63" t="str">
        <f t="shared" si="9"/>
        <v/>
      </c>
      <c r="G121" s="64"/>
      <c r="H121" s="64"/>
      <c r="I121" s="64"/>
      <c r="K121" t="str">
        <f t="shared" si="10"/>
        <v/>
      </c>
      <c r="L121" t="str">
        <f t="shared" si="11"/>
        <v/>
      </c>
    </row>
    <row r="122" spans="1:12">
      <c r="A122" s="59" t="str">
        <f>IF(E122="","",VLOOKUP('Opći dio'!$C$3,'Opći dio'!$L$6:$U$135,10,0))</f>
        <v/>
      </c>
      <c r="B122" s="59" t="str">
        <f>IF(E122="","",VLOOKUP('Opći dio'!$C$3,'Opći dio'!$L$6:$U$135,9,0))</f>
        <v/>
      </c>
      <c r="C122" s="60" t="str">
        <f t="shared" si="7"/>
        <v/>
      </c>
      <c r="D122" s="61" t="str">
        <f t="shared" si="8"/>
        <v/>
      </c>
      <c r="E122" s="62"/>
      <c r="F122" s="63" t="str">
        <f t="shared" si="9"/>
        <v/>
      </c>
      <c r="G122" s="64"/>
      <c r="H122" s="64"/>
      <c r="I122" s="64"/>
      <c r="K122" t="str">
        <f t="shared" si="10"/>
        <v/>
      </c>
      <c r="L122" t="str">
        <f t="shared" si="11"/>
        <v/>
      </c>
    </row>
    <row r="123" spans="1:12">
      <c r="A123" s="59" t="str">
        <f>IF(E123="","",VLOOKUP('Opći dio'!$C$3,'Opći dio'!$L$6:$U$135,10,0))</f>
        <v/>
      </c>
      <c r="B123" s="59" t="str">
        <f>IF(E123="","",VLOOKUP('Opći dio'!$C$3,'Opći dio'!$L$6:$U$135,9,0))</f>
        <v/>
      </c>
      <c r="C123" s="60" t="str">
        <f t="shared" si="7"/>
        <v/>
      </c>
      <c r="D123" s="61" t="str">
        <f t="shared" si="8"/>
        <v/>
      </c>
      <c r="E123" s="62"/>
      <c r="F123" s="63" t="str">
        <f t="shared" si="9"/>
        <v/>
      </c>
      <c r="G123" s="64"/>
      <c r="H123" s="64"/>
      <c r="I123" s="64"/>
      <c r="K123" t="str">
        <f t="shared" si="10"/>
        <v/>
      </c>
      <c r="L123" t="str">
        <f t="shared" si="11"/>
        <v/>
      </c>
    </row>
    <row r="124" spans="1:12">
      <c r="A124" s="59" t="str">
        <f>IF(E124="","",VLOOKUP('Opći dio'!$C$3,'Opći dio'!$L$6:$U$135,10,0))</f>
        <v/>
      </c>
      <c r="B124" s="59" t="str">
        <f>IF(E124="","",VLOOKUP('Opći dio'!$C$3,'Opći dio'!$L$6:$U$135,9,0))</f>
        <v/>
      </c>
      <c r="C124" s="60" t="str">
        <f t="shared" si="7"/>
        <v/>
      </c>
      <c r="D124" s="61" t="str">
        <f t="shared" si="8"/>
        <v/>
      </c>
      <c r="E124" s="62"/>
      <c r="F124" s="63" t="str">
        <f t="shared" si="9"/>
        <v/>
      </c>
      <c r="G124" s="64"/>
      <c r="H124" s="64"/>
      <c r="I124" s="64"/>
      <c r="K124" t="str">
        <f t="shared" si="10"/>
        <v/>
      </c>
      <c r="L124" t="str">
        <f t="shared" si="11"/>
        <v/>
      </c>
    </row>
    <row r="125" spans="1:12">
      <c r="A125" s="59" t="str">
        <f>IF(E125="","",VLOOKUP('Opći dio'!$C$3,'Opći dio'!$L$6:$U$135,10,0))</f>
        <v/>
      </c>
      <c r="B125" s="59" t="str">
        <f>IF(E125="","",VLOOKUP('Opći dio'!$C$3,'Opći dio'!$L$6:$U$135,9,0))</f>
        <v/>
      </c>
      <c r="C125" s="60" t="str">
        <f t="shared" si="7"/>
        <v/>
      </c>
      <c r="D125" s="61" t="str">
        <f t="shared" si="8"/>
        <v/>
      </c>
      <c r="E125" s="62"/>
      <c r="F125" s="63" t="str">
        <f t="shared" si="9"/>
        <v/>
      </c>
      <c r="G125" s="64"/>
      <c r="H125" s="64"/>
      <c r="I125" s="64"/>
      <c r="K125" t="str">
        <f t="shared" si="10"/>
        <v/>
      </c>
      <c r="L125" t="str">
        <f t="shared" si="11"/>
        <v/>
      </c>
    </row>
    <row r="126" spans="1:12">
      <c r="A126" s="59" t="str">
        <f>IF(E126="","",VLOOKUP('Opći dio'!$C$3,'Opći dio'!$L$6:$U$135,10,0))</f>
        <v/>
      </c>
      <c r="B126" s="59" t="str">
        <f>IF(E126="","",VLOOKUP('Opći dio'!$C$3,'Opći dio'!$L$6:$U$135,9,0))</f>
        <v/>
      </c>
      <c r="C126" s="60" t="str">
        <f t="shared" si="7"/>
        <v/>
      </c>
      <c r="D126" s="61" t="str">
        <f t="shared" si="8"/>
        <v/>
      </c>
      <c r="E126" s="62"/>
      <c r="F126" s="63" t="str">
        <f t="shared" si="9"/>
        <v/>
      </c>
      <c r="G126" s="64"/>
      <c r="H126" s="64"/>
      <c r="I126" s="64"/>
      <c r="K126" t="str">
        <f t="shared" si="10"/>
        <v/>
      </c>
      <c r="L126" t="str">
        <f t="shared" si="11"/>
        <v/>
      </c>
    </row>
    <row r="127" spans="1:12">
      <c r="A127" s="59" t="str">
        <f>IF(E127="","",VLOOKUP('Opći dio'!$C$3,'Opći dio'!$L$6:$U$135,10,0))</f>
        <v/>
      </c>
      <c r="B127" s="59" t="str">
        <f>IF(E127="","",VLOOKUP('Opći dio'!$C$3,'Opći dio'!$L$6:$U$135,9,0))</f>
        <v/>
      </c>
      <c r="C127" s="60" t="str">
        <f t="shared" si="7"/>
        <v/>
      </c>
      <c r="D127" s="61" t="str">
        <f t="shared" si="8"/>
        <v/>
      </c>
      <c r="E127" s="62"/>
      <c r="F127" s="63" t="str">
        <f t="shared" si="9"/>
        <v/>
      </c>
      <c r="G127" s="64"/>
      <c r="H127" s="64"/>
      <c r="I127" s="64"/>
      <c r="K127" t="str">
        <f t="shared" si="10"/>
        <v/>
      </c>
      <c r="L127" t="str">
        <f t="shared" si="11"/>
        <v/>
      </c>
    </row>
    <row r="128" spans="1:12">
      <c r="A128" s="59" t="str">
        <f>IF(E128="","",VLOOKUP('Opći dio'!$C$3,'Opći dio'!$L$6:$U$135,10,0))</f>
        <v/>
      </c>
      <c r="B128" s="59" t="str">
        <f>IF(E128="","",VLOOKUP('Opći dio'!$C$3,'Opći dio'!$L$6:$U$135,9,0))</f>
        <v/>
      </c>
      <c r="C128" s="60" t="str">
        <f t="shared" si="7"/>
        <v/>
      </c>
      <c r="D128" s="61" t="str">
        <f t="shared" si="8"/>
        <v/>
      </c>
      <c r="E128" s="62"/>
      <c r="F128" s="63" t="str">
        <f t="shared" si="9"/>
        <v/>
      </c>
      <c r="G128" s="64"/>
      <c r="H128" s="64"/>
      <c r="I128" s="64"/>
      <c r="K128" t="str">
        <f t="shared" si="10"/>
        <v/>
      </c>
      <c r="L128" t="str">
        <f t="shared" si="11"/>
        <v/>
      </c>
    </row>
    <row r="129" spans="1:12">
      <c r="A129" s="59" t="str">
        <f>IF(E129="","",VLOOKUP('Opći dio'!$C$3,'Opći dio'!$L$6:$U$135,10,0))</f>
        <v/>
      </c>
      <c r="B129" s="59" t="str">
        <f>IF(E129="","",VLOOKUP('Opći dio'!$C$3,'Opći dio'!$L$6:$U$135,9,0))</f>
        <v/>
      </c>
      <c r="C129" s="60" t="str">
        <f t="shared" si="7"/>
        <v/>
      </c>
      <c r="D129" s="61" t="str">
        <f t="shared" si="8"/>
        <v/>
      </c>
      <c r="E129" s="62"/>
      <c r="F129" s="63" t="str">
        <f t="shared" si="9"/>
        <v/>
      </c>
      <c r="G129" s="64"/>
      <c r="H129" s="64"/>
      <c r="I129" s="64"/>
      <c r="K129" t="str">
        <f t="shared" si="10"/>
        <v/>
      </c>
      <c r="L129" t="str">
        <f t="shared" si="11"/>
        <v/>
      </c>
    </row>
    <row r="130" spans="1:12">
      <c r="A130" s="59" t="str">
        <f>IF(E130="","",VLOOKUP('Opći dio'!$C$3,'Opći dio'!$L$6:$U$135,10,0))</f>
        <v/>
      </c>
      <c r="B130" s="59" t="str">
        <f>IF(E130="","",VLOOKUP('Opći dio'!$C$3,'Opći dio'!$L$6:$U$135,9,0))</f>
        <v/>
      </c>
      <c r="C130" s="60" t="str">
        <f t="shared" si="7"/>
        <v/>
      </c>
      <c r="D130" s="61" t="str">
        <f t="shared" si="8"/>
        <v/>
      </c>
      <c r="E130" s="62"/>
      <c r="F130" s="63" t="str">
        <f t="shared" si="9"/>
        <v/>
      </c>
      <c r="G130" s="64"/>
      <c r="H130" s="64"/>
      <c r="I130" s="64"/>
      <c r="K130" t="str">
        <f t="shared" si="10"/>
        <v/>
      </c>
      <c r="L130" t="str">
        <f t="shared" si="11"/>
        <v/>
      </c>
    </row>
    <row r="131" spans="1:12">
      <c r="A131" s="59" t="str">
        <f>IF(E131="","",VLOOKUP('Opći dio'!$C$3,'Opći dio'!$L$6:$U$135,10,0))</f>
        <v/>
      </c>
      <c r="B131" s="59" t="str">
        <f>IF(E131="","",VLOOKUP('Opći dio'!$C$3,'Opći dio'!$L$6:$U$135,9,0))</f>
        <v/>
      </c>
      <c r="C131" s="60" t="str">
        <f t="shared" ref="C131:C194" si="12">IFERROR(VLOOKUP(E131,$R$6:$U$73,3,0),"")</f>
        <v/>
      </c>
      <c r="D131" s="61" t="str">
        <f t="shared" ref="D131:D194" si="13">IFERROR(VLOOKUP(E131,$R$6:$U$73,4,0),"")</f>
        <v/>
      </c>
      <c r="E131" s="62"/>
      <c r="F131" s="63" t="str">
        <f t="shared" ref="F131:F194" si="14">IFERROR(VLOOKUP(E131,$R$6:$U$73,2,0),"")</f>
        <v/>
      </c>
      <c r="G131" s="64"/>
      <c r="H131" s="64"/>
      <c r="I131" s="64"/>
      <c r="K131" t="str">
        <f t="shared" ref="K131:K194" si="15">LEFT(E131,3)</f>
        <v/>
      </c>
      <c r="L131" t="str">
        <f t="shared" ref="L131:L194" si="16">LEFT(E131,2)</f>
        <v/>
      </c>
    </row>
    <row r="132" spans="1:12">
      <c r="A132" s="59" t="str">
        <f>IF(E132="","",VLOOKUP('Opći dio'!$C$3,'Opći dio'!$L$6:$U$135,10,0))</f>
        <v/>
      </c>
      <c r="B132" s="59" t="str">
        <f>IF(E132="","",VLOOKUP('Opći dio'!$C$3,'Opći dio'!$L$6:$U$135,9,0))</f>
        <v/>
      </c>
      <c r="C132" s="60" t="str">
        <f t="shared" si="12"/>
        <v/>
      </c>
      <c r="D132" s="61" t="str">
        <f t="shared" si="13"/>
        <v/>
      </c>
      <c r="E132" s="62"/>
      <c r="F132" s="63" t="str">
        <f t="shared" si="14"/>
        <v/>
      </c>
      <c r="G132" s="64"/>
      <c r="H132" s="64"/>
      <c r="I132" s="64"/>
      <c r="K132" t="str">
        <f t="shared" si="15"/>
        <v/>
      </c>
      <c r="L132" t="str">
        <f t="shared" si="16"/>
        <v/>
      </c>
    </row>
    <row r="133" spans="1:12">
      <c r="A133" s="59" t="str">
        <f>IF(E133="","",VLOOKUP('Opći dio'!$C$3,'Opći dio'!$L$6:$U$135,10,0))</f>
        <v/>
      </c>
      <c r="B133" s="59" t="str">
        <f>IF(E133="","",VLOOKUP('Opći dio'!$C$3,'Opći dio'!$L$6:$U$135,9,0))</f>
        <v/>
      </c>
      <c r="C133" s="60" t="str">
        <f t="shared" si="12"/>
        <v/>
      </c>
      <c r="D133" s="61" t="str">
        <f t="shared" si="13"/>
        <v/>
      </c>
      <c r="E133" s="62"/>
      <c r="F133" s="63" t="str">
        <f t="shared" si="14"/>
        <v/>
      </c>
      <c r="G133" s="64"/>
      <c r="H133" s="64"/>
      <c r="I133" s="64"/>
      <c r="K133" t="str">
        <f t="shared" si="15"/>
        <v/>
      </c>
      <c r="L133" t="str">
        <f t="shared" si="16"/>
        <v/>
      </c>
    </row>
    <row r="134" spans="1:12">
      <c r="A134" s="59" t="str">
        <f>IF(E134="","",VLOOKUP('Opći dio'!$C$3,'Opći dio'!$L$6:$U$135,10,0))</f>
        <v/>
      </c>
      <c r="B134" s="59" t="str">
        <f>IF(E134="","",VLOOKUP('Opći dio'!$C$3,'Opći dio'!$L$6:$U$135,9,0))</f>
        <v/>
      </c>
      <c r="C134" s="60" t="str">
        <f t="shared" si="12"/>
        <v/>
      </c>
      <c r="D134" s="61" t="str">
        <f t="shared" si="13"/>
        <v/>
      </c>
      <c r="E134" s="62"/>
      <c r="F134" s="63" t="str">
        <f t="shared" si="14"/>
        <v/>
      </c>
      <c r="G134" s="64"/>
      <c r="H134" s="64"/>
      <c r="I134" s="64"/>
      <c r="K134" t="str">
        <f t="shared" si="15"/>
        <v/>
      </c>
      <c r="L134" t="str">
        <f t="shared" si="16"/>
        <v/>
      </c>
    </row>
    <row r="135" spans="1:12">
      <c r="A135" s="59" t="str">
        <f>IF(E135="","",VLOOKUP('Opći dio'!$C$3,'Opći dio'!$L$6:$U$135,10,0))</f>
        <v/>
      </c>
      <c r="B135" s="59" t="str">
        <f>IF(E135="","",VLOOKUP('Opći dio'!$C$3,'Opći dio'!$L$6:$U$135,9,0))</f>
        <v/>
      </c>
      <c r="C135" s="60" t="str">
        <f t="shared" si="12"/>
        <v/>
      </c>
      <c r="D135" s="61" t="str">
        <f t="shared" si="13"/>
        <v/>
      </c>
      <c r="E135" s="62"/>
      <c r="F135" s="63" t="str">
        <f t="shared" si="14"/>
        <v/>
      </c>
      <c r="G135" s="64"/>
      <c r="H135" s="64"/>
      <c r="I135" s="64"/>
      <c r="K135" t="str">
        <f t="shared" si="15"/>
        <v/>
      </c>
      <c r="L135" t="str">
        <f t="shared" si="16"/>
        <v/>
      </c>
    </row>
    <row r="136" spans="1:12">
      <c r="A136" s="59" t="str">
        <f>IF(E136="","",VLOOKUP('Opći dio'!$C$3,'Opći dio'!$L$6:$U$135,10,0))</f>
        <v/>
      </c>
      <c r="B136" s="59" t="str">
        <f>IF(E136="","",VLOOKUP('Opći dio'!$C$3,'Opći dio'!$L$6:$U$135,9,0))</f>
        <v/>
      </c>
      <c r="C136" s="60" t="str">
        <f t="shared" si="12"/>
        <v/>
      </c>
      <c r="D136" s="61" t="str">
        <f t="shared" si="13"/>
        <v/>
      </c>
      <c r="E136" s="62"/>
      <c r="F136" s="63" t="str">
        <f t="shared" si="14"/>
        <v/>
      </c>
      <c r="G136" s="64"/>
      <c r="H136" s="64"/>
      <c r="I136" s="64"/>
      <c r="K136" t="str">
        <f t="shared" si="15"/>
        <v/>
      </c>
      <c r="L136" t="str">
        <f t="shared" si="16"/>
        <v/>
      </c>
    </row>
    <row r="137" spans="1:12">
      <c r="A137" s="59" t="str">
        <f>IF(E137="","",VLOOKUP('Opći dio'!$C$3,'Opći dio'!$L$6:$U$135,10,0))</f>
        <v/>
      </c>
      <c r="B137" s="59" t="str">
        <f>IF(E137="","",VLOOKUP('Opći dio'!$C$3,'Opći dio'!$L$6:$U$135,9,0))</f>
        <v/>
      </c>
      <c r="C137" s="60" t="str">
        <f t="shared" si="12"/>
        <v/>
      </c>
      <c r="D137" s="61" t="str">
        <f t="shared" si="13"/>
        <v/>
      </c>
      <c r="E137" s="62"/>
      <c r="F137" s="63" t="str">
        <f t="shared" si="14"/>
        <v/>
      </c>
      <c r="G137" s="64"/>
      <c r="H137" s="64"/>
      <c r="I137" s="64"/>
      <c r="K137" t="str">
        <f t="shared" si="15"/>
        <v/>
      </c>
      <c r="L137" t="str">
        <f t="shared" si="16"/>
        <v/>
      </c>
    </row>
    <row r="138" spans="1:12">
      <c r="A138" s="59" t="str">
        <f>IF(E138="","",VLOOKUP('Opći dio'!$C$3,'Opći dio'!$L$6:$U$135,10,0))</f>
        <v/>
      </c>
      <c r="B138" s="59" t="str">
        <f>IF(E138="","",VLOOKUP('Opći dio'!$C$3,'Opći dio'!$L$6:$U$135,9,0))</f>
        <v/>
      </c>
      <c r="C138" s="60" t="str">
        <f t="shared" si="12"/>
        <v/>
      </c>
      <c r="D138" s="61" t="str">
        <f t="shared" si="13"/>
        <v/>
      </c>
      <c r="E138" s="62"/>
      <c r="F138" s="63" t="str">
        <f t="shared" si="14"/>
        <v/>
      </c>
      <c r="G138" s="64"/>
      <c r="H138" s="64"/>
      <c r="I138" s="64"/>
      <c r="K138" t="str">
        <f t="shared" si="15"/>
        <v/>
      </c>
      <c r="L138" t="str">
        <f t="shared" si="16"/>
        <v/>
      </c>
    </row>
    <row r="139" spans="1:12">
      <c r="A139" s="59" t="str">
        <f>IF(E139="","",VLOOKUP('Opći dio'!$C$3,'Opći dio'!$L$6:$U$135,10,0))</f>
        <v/>
      </c>
      <c r="B139" s="59" t="str">
        <f>IF(E139="","",VLOOKUP('Opći dio'!$C$3,'Opći dio'!$L$6:$U$135,9,0))</f>
        <v/>
      </c>
      <c r="C139" s="60" t="str">
        <f t="shared" si="12"/>
        <v/>
      </c>
      <c r="D139" s="61" t="str">
        <f t="shared" si="13"/>
        <v/>
      </c>
      <c r="E139" s="62"/>
      <c r="F139" s="63" t="str">
        <f t="shared" si="14"/>
        <v/>
      </c>
      <c r="G139" s="64"/>
      <c r="H139" s="64"/>
      <c r="I139" s="64"/>
      <c r="K139" t="str">
        <f t="shared" si="15"/>
        <v/>
      </c>
      <c r="L139" t="str">
        <f t="shared" si="16"/>
        <v/>
      </c>
    </row>
    <row r="140" spans="1:12">
      <c r="A140" s="59" t="str">
        <f>IF(E140="","",VLOOKUP('Opći dio'!$C$3,'Opći dio'!$L$6:$U$135,10,0))</f>
        <v/>
      </c>
      <c r="B140" s="59" t="str">
        <f>IF(E140="","",VLOOKUP('Opći dio'!$C$3,'Opći dio'!$L$6:$U$135,9,0))</f>
        <v/>
      </c>
      <c r="C140" s="60" t="str">
        <f t="shared" si="12"/>
        <v/>
      </c>
      <c r="D140" s="61" t="str">
        <f t="shared" si="13"/>
        <v/>
      </c>
      <c r="E140" s="62"/>
      <c r="F140" s="63" t="str">
        <f t="shared" si="14"/>
        <v/>
      </c>
      <c r="G140" s="64"/>
      <c r="H140" s="64"/>
      <c r="I140" s="64"/>
      <c r="K140" t="str">
        <f t="shared" si="15"/>
        <v/>
      </c>
      <c r="L140" t="str">
        <f t="shared" si="16"/>
        <v/>
      </c>
    </row>
    <row r="141" spans="1:12">
      <c r="A141" s="59" t="str">
        <f>IF(E141="","",VLOOKUP('Opći dio'!$C$3,'Opći dio'!$L$6:$U$135,10,0))</f>
        <v/>
      </c>
      <c r="B141" s="59" t="str">
        <f>IF(E141="","",VLOOKUP('Opći dio'!$C$3,'Opći dio'!$L$6:$U$135,9,0))</f>
        <v/>
      </c>
      <c r="C141" s="60" t="str">
        <f t="shared" si="12"/>
        <v/>
      </c>
      <c r="D141" s="61" t="str">
        <f t="shared" si="13"/>
        <v/>
      </c>
      <c r="E141" s="62"/>
      <c r="F141" s="63" t="str">
        <f t="shared" si="14"/>
        <v/>
      </c>
      <c r="G141" s="64"/>
      <c r="H141" s="64"/>
      <c r="I141" s="64"/>
      <c r="K141" t="str">
        <f t="shared" si="15"/>
        <v/>
      </c>
      <c r="L141" t="str">
        <f t="shared" si="16"/>
        <v/>
      </c>
    </row>
    <row r="142" spans="1:12">
      <c r="A142" s="59" t="str">
        <f>IF(E142="","",VLOOKUP('Opći dio'!$C$3,'Opći dio'!$L$6:$U$135,10,0))</f>
        <v/>
      </c>
      <c r="B142" s="59" t="str">
        <f>IF(E142="","",VLOOKUP('Opći dio'!$C$3,'Opći dio'!$L$6:$U$135,9,0))</f>
        <v/>
      </c>
      <c r="C142" s="60" t="str">
        <f t="shared" si="12"/>
        <v/>
      </c>
      <c r="D142" s="61" t="str">
        <f t="shared" si="13"/>
        <v/>
      </c>
      <c r="E142" s="62"/>
      <c r="F142" s="63" t="str">
        <f t="shared" si="14"/>
        <v/>
      </c>
      <c r="G142" s="64"/>
      <c r="H142" s="64"/>
      <c r="I142" s="64"/>
      <c r="K142" t="str">
        <f t="shared" si="15"/>
        <v/>
      </c>
      <c r="L142" t="str">
        <f t="shared" si="16"/>
        <v/>
      </c>
    </row>
    <row r="143" spans="1:12">
      <c r="A143" s="59" t="str">
        <f>IF(E143="","",VLOOKUP('Opći dio'!$C$3,'Opći dio'!$L$6:$U$135,10,0))</f>
        <v/>
      </c>
      <c r="B143" s="59" t="str">
        <f>IF(E143="","",VLOOKUP('Opći dio'!$C$3,'Opći dio'!$L$6:$U$135,9,0))</f>
        <v/>
      </c>
      <c r="C143" s="60" t="str">
        <f t="shared" si="12"/>
        <v/>
      </c>
      <c r="D143" s="61" t="str">
        <f t="shared" si="13"/>
        <v/>
      </c>
      <c r="E143" s="62"/>
      <c r="F143" s="63" t="str">
        <f t="shared" si="14"/>
        <v/>
      </c>
      <c r="G143" s="64"/>
      <c r="H143" s="64"/>
      <c r="I143" s="64"/>
      <c r="K143" t="str">
        <f t="shared" si="15"/>
        <v/>
      </c>
      <c r="L143" t="str">
        <f t="shared" si="16"/>
        <v/>
      </c>
    </row>
    <row r="144" spans="1:12">
      <c r="A144" s="59" t="str">
        <f>IF(E144="","",VLOOKUP('Opći dio'!$C$3,'Opći dio'!$L$6:$U$135,10,0))</f>
        <v/>
      </c>
      <c r="B144" s="59" t="str">
        <f>IF(E144="","",VLOOKUP('Opći dio'!$C$3,'Opći dio'!$L$6:$U$135,9,0))</f>
        <v/>
      </c>
      <c r="C144" s="60" t="str">
        <f t="shared" si="12"/>
        <v/>
      </c>
      <c r="D144" s="61" t="str">
        <f t="shared" si="13"/>
        <v/>
      </c>
      <c r="E144" s="62"/>
      <c r="F144" s="63" t="str">
        <f t="shared" si="14"/>
        <v/>
      </c>
      <c r="G144" s="64"/>
      <c r="H144" s="64"/>
      <c r="I144" s="64"/>
      <c r="K144" t="str">
        <f t="shared" si="15"/>
        <v/>
      </c>
      <c r="L144" t="str">
        <f t="shared" si="16"/>
        <v/>
      </c>
    </row>
    <row r="145" spans="1:12">
      <c r="A145" s="59" t="str">
        <f>IF(E145="","",VLOOKUP('Opći dio'!$C$3,'Opći dio'!$L$6:$U$135,10,0))</f>
        <v/>
      </c>
      <c r="B145" s="59" t="str">
        <f>IF(E145="","",VLOOKUP('Opći dio'!$C$3,'Opći dio'!$L$6:$U$135,9,0))</f>
        <v/>
      </c>
      <c r="C145" s="60" t="str">
        <f t="shared" si="12"/>
        <v/>
      </c>
      <c r="D145" s="61" t="str">
        <f t="shared" si="13"/>
        <v/>
      </c>
      <c r="E145" s="62"/>
      <c r="F145" s="63" t="str">
        <f t="shared" si="14"/>
        <v/>
      </c>
      <c r="G145" s="64"/>
      <c r="H145" s="64"/>
      <c r="I145" s="64"/>
      <c r="K145" t="str">
        <f t="shared" si="15"/>
        <v/>
      </c>
      <c r="L145" t="str">
        <f t="shared" si="16"/>
        <v/>
      </c>
    </row>
    <row r="146" spans="1:12">
      <c r="A146" s="59" t="str">
        <f>IF(E146="","",VLOOKUP('Opći dio'!$C$3,'Opći dio'!$L$6:$U$135,10,0))</f>
        <v/>
      </c>
      <c r="B146" s="59" t="str">
        <f>IF(E146="","",VLOOKUP('Opći dio'!$C$3,'Opći dio'!$L$6:$U$135,9,0))</f>
        <v/>
      </c>
      <c r="C146" s="60" t="str">
        <f t="shared" si="12"/>
        <v/>
      </c>
      <c r="D146" s="61" t="str">
        <f t="shared" si="13"/>
        <v/>
      </c>
      <c r="E146" s="62"/>
      <c r="F146" s="63" t="str">
        <f t="shared" si="14"/>
        <v/>
      </c>
      <c r="G146" s="64"/>
      <c r="H146" s="64"/>
      <c r="I146" s="64"/>
      <c r="K146" t="str">
        <f t="shared" si="15"/>
        <v/>
      </c>
      <c r="L146" t="str">
        <f t="shared" si="16"/>
        <v/>
      </c>
    </row>
    <row r="147" spans="1:12">
      <c r="A147" s="59" t="str">
        <f>IF(E147="","",VLOOKUP('Opći dio'!$C$3,'Opći dio'!$L$6:$U$135,10,0))</f>
        <v/>
      </c>
      <c r="B147" s="59" t="str">
        <f>IF(E147="","",VLOOKUP('Opći dio'!$C$3,'Opći dio'!$L$6:$U$135,9,0))</f>
        <v/>
      </c>
      <c r="C147" s="60" t="str">
        <f t="shared" si="12"/>
        <v/>
      </c>
      <c r="D147" s="61" t="str">
        <f t="shared" si="13"/>
        <v/>
      </c>
      <c r="E147" s="62"/>
      <c r="F147" s="63" t="str">
        <f t="shared" si="14"/>
        <v/>
      </c>
      <c r="G147" s="64"/>
      <c r="H147" s="64"/>
      <c r="I147" s="64"/>
      <c r="K147" t="str">
        <f t="shared" si="15"/>
        <v/>
      </c>
      <c r="L147" t="str">
        <f t="shared" si="16"/>
        <v/>
      </c>
    </row>
    <row r="148" spans="1:12">
      <c r="A148" s="59" t="str">
        <f>IF(E148="","",VLOOKUP('Opći dio'!$C$3,'Opći dio'!$L$6:$U$135,10,0))</f>
        <v/>
      </c>
      <c r="B148" s="59" t="str">
        <f>IF(E148="","",VLOOKUP('Opći dio'!$C$3,'Opći dio'!$L$6:$U$135,9,0))</f>
        <v/>
      </c>
      <c r="C148" s="60" t="str">
        <f t="shared" si="12"/>
        <v/>
      </c>
      <c r="D148" s="61" t="str">
        <f t="shared" si="13"/>
        <v/>
      </c>
      <c r="E148" s="62"/>
      <c r="F148" s="63" t="str">
        <f t="shared" si="14"/>
        <v/>
      </c>
      <c r="G148" s="64"/>
      <c r="H148" s="64"/>
      <c r="I148" s="64"/>
      <c r="K148" t="str">
        <f t="shared" si="15"/>
        <v/>
      </c>
      <c r="L148" t="str">
        <f t="shared" si="16"/>
        <v/>
      </c>
    </row>
    <row r="149" spans="1:12">
      <c r="A149" s="59" t="str">
        <f>IF(E149="","",VLOOKUP('Opći dio'!$C$3,'Opći dio'!$L$6:$U$135,10,0))</f>
        <v/>
      </c>
      <c r="B149" s="59" t="str">
        <f>IF(E149="","",VLOOKUP('Opći dio'!$C$3,'Opći dio'!$L$6:$U$135,9,0))</f>
        <v/>
      </c>
      <c r="C149" s="60" t="str">
        <f t="shared" si="12"/>
        <v/>
      </c>
      <c r="D149" s="61" t="str">
        <f t="shared" si="13"/>
        <v/>
      </c>
      <c r="E149" s="62"/>
      <c r="F149" s="63" t="str">
        <f t="shared" si="14"/>
        <v/>
      </c>
      <c r="G149" s="64"/>
      <c r="H149" s="64"/>
      <c r="I149" s="64"/>
      <c r="K149" t="str">
        <f t="shared" si="15"/>
        <v/>
      </c>
      <c r="L149" t="str">
        <f t="shared" si="16"/>
        <v/>
      </c>
    </row>
    <row r="150" spans="1:12">
      <c r="A150" s="59" t="str">
        <f>IF(E150="","",VLOOKUP('Opći dio'!$C$3,'Opći dio'!$L$6:$U$135,10,0))</f>
        <v/>
      </c>
      <c r="B150" s="59" t="str">
        <f>IF(E150="","",VLOOKUP('Opći dio'!$C$3,'Opći dio'!$L$6:$U$135,9,0))</f>
        <v/>
      </c>
      <c r="C150" s="60" t="str">
        <f t="shared" si="12"/>
        <v/>
      </c>
      <c r="D150" s="61" t="str">
        <f t="shared" si="13"/>
        <v/>
      </c>
      <c r="E150" s="62"/>
      <c r="F150" s="63" t="str">
        <f t="shared" si="14"/>
        <v/>
      </c>
      <c r="G150" s="64"/>
      <c r="H150" s="64"/>
      <c r="I150" s="64"/>
      <c r="K150" t="str">
        <f t="shared" si="15"/>
        <v/>
      </c>
      <c r="L150" t="str">
        <f t="shared" si="16"/>
        <v/>
      </c>
    </row>
    <row r="151" spans="1:12">
      <c r="A151" s="59" t="str">
        <f>IF(E151="","",VLOOKUP('Opći dio'!$C$3,'Opći dio'!$L$6:$U$135,10,0))</f>
        <v/>
      </c>
      <c r="B151" s="59" t="str">
        <f>IF(E151="","",VLOOKUP('Opći dio'!$C$3,'Opći dio'!$L$6:$U$135,9,0))</f>
        <v/>
      </c>
      <c r="C151" s="60" t="str">
        <f t="shared" si="12"/>
        <v/>
      </c>
      <c r="D151" s="61" t="str">
        <f t="shared" si="13"/>
        <v/>
      </c>
      <c r="E151" s="62"/>
      <c r="F151" s="63" t="str">
        <f t="shared" si="14"/>
        <v/>
      </c>
      <c r="G151" s="64"/>
      <c r="H151" s="64"/>
      <c r="I151" s="64"/>
      <c r="K151" t="str">
        <f t="shared" si="15"/>
        <v/>
      </c>
      <c r="L151" t="str">
        <f t="shared" si="16"/>
        <v/>
      </c>
    </row>
    <row r="152" spans="1:12">
      <c r="A152" s="59" t="str">
        <f>IF(E152="","",VLOOKUP('Opći dio'!$C$3,'Opći dio'!$L$6:$U$135,10,0))</f>
        <v/>
      </c>
      <c r="B152" s="59" t="str">
        <f>IF(E152="","",VLOOKUP('Opći dio'!$C$3,'Opći dio'!$L$6:$U$135,9,0))</f>
        <v/>
      </c>
      <c r="C152" s="60" t="str">
        <f t="shared" si="12"/>
        <v/>
      </c>
      <c r="D152" s="61" t="str">
        <f t="shared" si="13"/>
        <v/>
      </c>
      <c r="E152" s="62"/>
      <c r="F152" s="63" t="str">
        <f t="shared" si="14"/>
        <v/>
      </c>
      <c r="G152" s="64"/>
      <c r="H152" s="64"/>
      <c r="I152" s="64"/>
      <c r="K152" t="str">
        <f t="shared" si="15"/>
        <v/>
      </c>
      <c r="L152" t="str">
        <f t="shared" si="16"/>
        <v/>
      </c>
    </row>
    <row r="153" spans="1:12">
      <c r="A153" s="59" t="str">
        <f>IF(E153="","",VLOOKUP('Opći dio'!$C$3,'Opći dio'!$L$6:$U$135,10,0))</f>
        <v/>
      </c>
      <c r="B153" s="59" t="str">
        <f>IF(E153="","",VLOOKUP('Opći dio'!$C$3,'Opći dio'!$L$6:$U$135,9,0))</f>
        <v/>
      </c>
      <c r="C153" s="60" t="str">
        <f t="shared" si="12"/>
        <v/>
      </c>
      <c r="D153" s="61" t="str">
        <f t="shared" si="13"/>
        <v/>
      </c>
      <c r="E153" s="62"/>
      <c r="F153" s="63" t="str">
        <f t="shared" si="14"/>
        <v/>
      </c>
      <c r="G153" s="64"/>
      <c r="H153" s="64"/>
      <c r="I153" s="64"/>
      <c r="K153" t="str">
        <f t="shared" si="15"/>
        <v/>
      </c>
      <c r="L153" t="str">
        <f t="shared" si="16"/>
        <v/>
      </c>
    </row>
    <row r="154" spans="1:12">
      <c r="A154" s="59" t="str">
        <f>IF(E154="","",VLOOKUP('Opći dio'!$C$3,'Opći dio'!$L$6:$U$135,10,0))</f>
        <v/>
      </c>
      <c r="B154" s="59" t="str">
        <f>IF(E154="","",VLOOKUP('Opći dio'!$C$3,'Opći dio'!$L$6:$U$135,9,0))</f>
        <v/>
      </c>
      <c r="C154" s="60" t="str">
        <f t="shared" si="12"/>
        <v/>
      </c>
      <c r="D154" s="61" t="str">
        <f t="shared" si="13"/>
        <v/>
      </c>
      <c r="E154" s="62"/>
      <c r="F154" s="63" t="str">
        <f t="shared" si="14"/>
        <v/>
      </c>
      <c r="G154" s="64"/>
      <c r="H154" s="64"/>
      <c r="I154" s="64"/>
      <c r="K154" t="str">
        <f t="shared" si="15"/>
        <v/>
      </c>
      <c r="L154" t="str">
        <f t="shared" si="16"/>
        <v/>
      </c>
    </row>
    <row r="155" spans="1:12">
      <c r="A155" s="59" t="str">
        <f>IF(E155="","",VLOOKUP('Opći dio'!$C$3,'Opći dio'!$L$6:$U$135,10,0))</f>
        <v/>
      </c>
      <c r="B155" s="59" t="str">
        <f>IF(E155="","",VLOOKUP('Opći dio'!$C$3,'Opći dio'!$L$6:$U$135,9,0))</f>
        <v/>
      </c>
      <c r="C155" s="60" t="str">
        <f t="shared" si="12"/>
        <v/>
      </c>
      <c r="D155" s="61" t="str">
        <f t="shared" si="13"/>
        <v/>
      </c>
      <c r="E155" s="62"/>
      <c r="F155" s="63" t="str">
        <f t="shared" si="14"/>
        <v/>
      </c>
      <c r="G155" s="64"/>
      <c r="H155" s="64"/>
      <c r="I155" s="64"/>
      <c r="K155" t="str">
        <f t="shared" si="15"/>
        <v/>
      </c>
      <c r="L155" t="str">
        <f t="shared" si="16"/>
        <v/>
      </c>
    </row>
    <row r="156" spans="1:12">
      <c r="A156" s="59" t="str">
        <f>IF(E156="","",VLOOKUP('Opći dio'!$C$3,'Opći dio'!$L$6:$U$135,10,0))</f>
        <v/>
      </c>
      <c r="B156" s="59" t="str">
        <f>IF(E156="","",VLOOKUP('Opći dio'!$C$3,'Opći dio'!$L$6:$U$135,9,0))</f>
        <v/>
      </c>
      <c r="C156" s="60" t="str">
        <f t="shared" si="12"/>
        <v/>
      </c>
      <c r="D156" s="61" t="str">
        <f t="shared" si="13"/>
        <v/>
      </c>
      <c r="E156" s="62"/>
      <c r="F156" s="63" t="str">
        <f t="shared" si="14"/>
        <v/>
      </c>
      <c r="G156" s="64"/>
      <c r="H156" s="64"/>
      <c r="I156" s="64"/>
      <c r="K156" t="str">
        <f t="shared" si="15"/>
        <v/>
      </c>
      <c r="L156" t="str">
        <f t="shared" si="16"/>
        <v/>
      </c>
    </row>
    <row r="157" spans="1:12">
      <c r="A157" s="59" t="str">
        <f>IF(E157="","",VLOOKUP('Opći dio'!$C$3,'Opći dio'!$L$6:$U$135,10,0))</f>
        <v/>
      </c>
      <c r="B157" s="59" t="str">
        <f>IF(E157="","",VLOOKUP('Opći dio'!$C$3,'Opći dio'!$L$6:$U$135,9,0))</f>
        <v/>
      </c>
      <c r="C157" s="60" t="str">
        <f t="shared" si="12"/>
        <v/>
      </c>
      <c r="D157" s="61" t="str">
        <f t="shared" si="13"/>
        <v/>
      </c>
      <c r="E157" s="62"/>
      <c r="F157" s="63" t="str">
        <f t="shared" si="14"/>
        <v/>
      </c>
      <c r="G157" s="64"/>
      <c r="H157" s="64"/>
      <c r="I157" s="64"/>
      <c r="K157" t="str">
        <f t="shared" si="15"/>
        <v/>
      </c>
      <c r="L157" t="str">
        <f t="shared" si="16"/>
        <v/>
      </c>
    </row>
    <row r="158" spans="1:12">
      <c r="A158" s="59" t="str">
        <f>IF(E158="","",VLOOKUP('Opći dio'!$C$3,'Opći dio'!$L$6:$U$135,10,0))</f>
        <v/>
      </c>
      <c r="B158" s="59" t="str">
        <f>IF(E158="","",VLOOKUP('Opći dio'!$C$3,'Opći dio'!$L$6:$U$135,9,0))</f>
        <v/>
      </c>
      <c r="C158" s="60" t="str">
        <f t="shared" si="12"/>
        <v/>
      </c>
      <c r="D158" s="61" t="str">
        <f t="shared" si="13"/>
        <v/>
      </c>
      <c r="E158" s="62"/>
      <c r="F158" s="63" t="str">
        <f t="shared" si="14"/>
        <v/>
      </c>
      <c r="G158" s="64"/>
      <c r="H158" s="64"/>
      <c r="I158" s="64"/>
      <c r="K158" t="str">
        <f t="shared" si="15"/>
        <v/>
      </c>
      <c r="L158" t="str">
        <f t="shared" si="16"/>
        <v/>
      </c>
    </row>
    <row r="159" spans="1:12">
      <c r="A159" s="59" t="str">
        <f>IF(E159="","",VLOOKUP('Opći dio'!$C$3,'Opći dio'!$L$6:$U$135,10,0))</f>
        <v/>
      </c>
      <c r="B159" s="59" t="str">
        <f>IF(E159="","",VLOOKUP('Opći dio'!$C$3,'Opći dio'!$L$6:$U$135,9,0))</f>
        <v/>
      </c>
      <c r="C159" s="60" t="str">
        <f t="shared" si="12"/>
        <v/>
      </c>
      <c r="D159" s="61" t="str">
        <f t="shared" si="13"/>
        <v/>
      </c>
      <c r="E159" s="62"/>
      <c r="F159" s="63" t="str">
        <f t="shared" si="14"/>
        <v/>
      </c>
      <c r="G159" s="64"/>
      <c r="H159" s="64"/>
      <c r="I159" s="64"/>
      <c r="K159" t="str">
        <f t="shared" si="15"/>
        <v/>
      </c>
      <c r="L159" t="str">
        <f t="shared" si="16"/>
        <v/>
      </c>
    </row>
    <row r="160" spans="1:12">
      <c r="A160" s="59" t="str">
        <f>IF(E160="","",VLOOKUP('Opći dio'!$C$3,'Opći dio'!$L$6:$U$135,10,0))</f>
        <v/>
      </c>
      <c r="B160" s="59" t="str">
        <f>IF(E160="","",VLOOKUP('Opći dio'!$C$3,'Opći dio'!$L$6:$U$135,9,0))</f>
        <v/>
      </c>
      <c r="C160" s="60" t="str">
        <f t="shared" si="12"/>
        <v/>
      </c>
      <c r="D160" s="61" t="str">
        <f t="shared" si="13"/>
        <v/>
      </c>
      <c r="E160" s="62"/>
      <c r="F160" s="63" t="str">
        <f t="shared" si="14"/>
        <v/>
      </c>
      <c r="G160" s="64"/>
      <c r="H160" s="64"/>
      <c r="I160" s="64"/>
      <c r="K160" t="str">
        <f t="shared" si="15"/>
        <v/>
      </c>
      <c r="L160" t="str">
        <f t="shared" si="16"/>
        <v/>
      </c>
    </row>
    <row r="161" spans="1:12">
      <c r="A161" s="59" t="str">
        <f>IF(E161="","",VLOOKUP('Opći dio'!$C$3,'Opći dio'!$L$6:$U$135,10,0))</f>
        <v/>
      </c>
      <c r="B161" s="59" t="str">
        <f>IF(E161="","",VLOOKUP('Opći dio'!$C$3,'Opći dio'!$L$6:$U$135,9,0))</f>
        <v/>
      </c>
      <c r="C161" s="60" t="str">
        <f t="shared" si="12"/>
        <v/>
      </c>
      <c r="D161" s="61" t="str">
        <f t="shared" si="13"/>
        <v/>
      </c>
      <c r="E161" s="62"/>
      <c r="F161" s="63" t="str">
        <f t="shared" si="14"/>
        <v/>
      </c>
      <c r="G161" s="64"/>
      <c r="H161" s="64"/>
      <c r="I161" s="64"/>
      <c r="K161" t="str">
        <f t="shared" si="15"/>
        <v/>
      </c>
      <c r="L161" t="str">
        <f t="shared" si="16"/>
        <v/>
      </c>
    </row>
    <row r="162" spans="1:12">
      <c r="A162" s="59" t="str">
        <f>IF(E162="","",VLOOKUP('Opći dio'!$C$3,'Opći dio'!$L$6:$U$135,10,0))</f>
        <v/>
      </c>
      <c r="B162" s="59" t="str">
        <f>IF(E162="","",VLOOKUP('Opći dio'!$C$3,'Opći dio'!$L$6:$U$135,9,0))</f>
        <v/>
      </c>
      <c r="C162" s="60" t="str">
        <f t="shared" si="12"/>
        <v/>
      </c>
      <c r="D162" s="61" t="str">
        <f t="shared" si="13"/>
        <v/>
      </c>
      <c r="E162" s="62"/>
      <c r="F162" s="63" t="str">
        <f t="shared" si="14"/>
        <v/>
      </c>
      <c r="G162" s="64"/>
      <c r="H162" s="64"/>
      <c r="I162" s="64"/>
      <c r="K162" t="str">
        <f t="shared" si="15"/>
        <v/>
      </c>
      <c r="L162" t="str">
        <f t="shared" si="16"/>
        <v/>
      </c>
    </row>
    <row r="163" spans="1:12">
      <c r="A163" s="59" t="str">
        <f>IF(E163="","",VLOOKUP('Opći dio'!$C$3,'Opći dio'!$L$6:$U$135,10,0))</f>
        <v/>
      </c>
      <c r="B163" s="59" t="str">
        <f>IF(E163="","",VLOOKUP('Opći dio'!$C$3,'Opći dio'!$L$6:$U$135,9,0))</f>
        <v/>
      </c>
      <c r="C163" s="60" t="str">
        <f t="shared" si="12"/>
        <v/>
      </c>
      <c r="D163" s="61" t="str">
        <f t="shared" si="13"/>
        <v/>
      </c>
      <c r="E163" s="62"/>
      <c r="F163" s="63" t="str">
        <f t="shared" si="14"/>
        <v/>
      </c>
      <c r="G163" s="64"/>
      <c r="H163" s="64"/>
      <c r="I163" s="64"/>
      <c r="K163" t="str">
        <f t="shared" si="15"/>
        <v/>
      </c>
      <c r="L163" t="str">
        <f t="shared" si="16"/>
        <v/>
      </c>
    </row>
    <row r="164" spans="1:12">
      <c r="A164" s="59" t="str">
        <f>IF(E164="","",VLOOKUP('Opći dio'!$C$3,'Opći dio'!$L$6:$U$135,10,0))</f>
        <v/>
      </c>
      <c r="B164" s="59" t="str">
        <f>IF(E164="","",VLOOKUP('Opći dio'!$C$3,'Opći dio'!$L$6:$U$135,9,0))</f>
        <v/>
      </c>
      <c r="C164" s="60" t="str">
        <f t="shared" si="12"/>
        <v/>
      </c>
      <c r="D164" s="61" t="str">
        <f t="shared" si="13"/>
        <v/>
      </c>
      <c r="E164" s="62"/>
      <c r="F164" s="63" t="str">
        <f t="shared" si="14"/>
        <v/>
      </c>
      <c r="G164" s="64"/>
      <c r="H164" s="64"/>
      <c r="I164" s="64"/>
      <c r="K164" t="str">
        <f t="shared" si="15"/>
        <v/>
      </c>
      <c r="L164" t="str">
        <f t="shared" si="16"/>
        <v/>
      </c>
    </row>
    <row r="165" spans="1:12">
      <c r="A165" s="59" t="str">
        <f>IF(E165="","",VLOOKUP('Opći dio'!$C$3,'Opći dio'!$L$6:$U$135,10,0))</f>
        <v/>
      </c>
      <c r="B165" s="59" t="str">
        <f>IF(E165="","",VLOOKUP('Opći dio'!$C$3,'Opći dio'!$L$6:$U$135,9,0))</f>
        <v/>
      </c>
      <c r="C165" s="60" t="str">
        <f t="shared" si="12"/>
        <v/>
      </c>
      <c r="D165" s="61" t="str">
        <f t="shared" si="13"/>
        <v/>
      </c>
      <c r="E165" s="62"/>
      <c r="F165" s="63" t="str">
        <f t="shared" si="14"/>
        <v/>
      </c>
      <c r="G165" s="64"/>
      <c r="H165" s="64"/>
      <c r="I165" s="64"/>
      <c r="K165" t="str">
        <f t="shared" si="15"/>
        <v/>
      </c>
      <c r="L165" t="str">
        <f t="shared" si="16"/>
        <v/>
      </c>
    </row>
    <row r="166" spans="1:12">
      <c r="A166" s="59" t="str">
        <f>IF(E166="","",VLOOKUP('Opći dio'!$C$3,'Opći dio'!$L$6:$U$135,10,0))</f>
        <v/>
      </c>
      <c r="B166" s="59" t="str">
        <f>IF(E166="","",VLOOKUP('Opći dio'!$C$3,'Opći dio'!$L$6:$U$135,9,0))</f>
        <v/>
      </c>
      <c r="C166" s="60" t="str">
        <f t="shared" si="12"/>
        <v/>
      </c>
      <c r="D166" s="61" t="str">
        <f t="shared" si="13"/>
        <v/>
      </c>
      <c r="E166" s="62"/>
      <c r="F166" s="63" t="str">
        <f t="shared" si="14"/>
        <v/>
      </c>
      <c r="G166" s="64"/>
      <c r="H166" s="64"/>
      <c r="I166" s="64"/>
      <c r="K166" t="str">
        <f t="shared" si="15"/>
        <v/>
      </c>
      <c r="L166" t="str">
        <f t="shared" si="16"/>
        <v/>
      </c>
    </row>
    <row r="167" spans="1:12">
      <c r="A167" s="59" t="str">
        <f>IF(E167="","",VLOOKUP('Opći dio'!$C$3,'Opći dio'!$L$6:$U$135,10,0))</f>
        <v/>
      </c>
      <c r="B167" s="59" t="str">
        <f>IF(E167="","",VLOOKUP('Opći dio'!$C$3,'Opći dio'!$L$6:$U$135,9,0))</f>
        <v/>
      </c>
      <c r="C167" s="60" t="str">
        <f t="shared" si="12"/>
        <v/>
      </c>
      <c r="D167" s="61" t="str">
        <f t="shared" si="13"/>
        <v/>
      </c>
      <c r="E167" s="62"/>
      <c r="F167" s="63" t="str">
        <f t="shared" si="14"/>
        <v/>
      </c>
      <c r="G167" s="64"/>
      <c r="H167" s="64"/>
      <c r="I167" s="64"/>
      <c r="K167" t="str">
        <f t="shared" si="15"/>
        <v/>
      </c>
      <c r="L167" t="str">
        <f t="shared" si="16"/>
        <v/>
      </c>
    </row>
    <row r="168" spans="1:12">
      <c r="A168" s="59" t="str">
        <f>IF(E168="","",VLOOKUP('Opći dio'!$C$3,'Opći dio'!$L$6:$U$135,10,0))</f>
        <v/>
      </c>
      <c r="B168" s="59" t="str">
        <f>IF(E168="","",VLOOKUP('Opći dio'!$C$3,'Opći dio'!$L$6:$U$135,9,0))</f>
        <v/>
      </c>
      <c r="C168" s="60" t="str">
        <f t="shared" si="12"/>
        <v/>
      </c>
      <c r="D168" s="61" t="str">
        <f t="shared" si="13"/>
        <v/>
      </c>
      <c r="E168" s="62"/>
      <c r="F168" s="63" t="str">
        <f t="shared" si="14"/>
        <v/>
      </c>
      <c r="G168" s="64"/>
      <c r="H168" s="64"/>
      <c r="I168" s="64"/>
      <c r="K168" t="str">
        <f t="shared" si="15"/>
        <v/>
      </c>
      <c r="L168" t="str">
        <f t="shared" si="16"/>
        <v/>
      </c>
    </row>
    <row r="169" spans="1:12">
      <c r="A169" s="59" t="str">
        <f>IF(E169="","",VLOOKUP('Opći dio'!$C$3,'Opći dio'!$L$6:$U$135,10,0))</f>
        <v/>
      </c>
      <c r="B169" s="59" t="str">
        <f>IF(E169="","",VLOOKUP('Opći dio'!$C$3,'Opći dio'!$L$6:$U$135,9,0))</f>
        <v/>
      </c>
      <c r="C169" s="60" t="str">
        <f t="shared" si="12"/>
        <v/>
      </c>
      <c r="D169" s="61" t="str">
        <f t="shared" si="13"/>
        <v/>
      </c>
      <c r="E169" s="62"/>
      <c r="F169" s="63" t="str">
        <f t="shared" si="14"/>
        <v/>
      </c>
      <c r="G169" s="64"/>
      <c r="H169" s="64"/>
      <c r="I169" s="64"/>
      <c r="K169" t="str">
        <f t="shared" si="15"/>
        <v/>
      </c>
      <c r="L169" t="str">
        <f t="shared" si="16"/>
        <v/>
      </c>
    </row>
    <row r="170" spans="1:12">
      <c r="A170" s="59" t="str">
        <f>IF(E170="","",VLOOKUP('Opći dio'!$C$3,'Opći dio'!$L$6:$U$135,10,0))</f>
        <v/>
      </c>
      <c r="B170" s="59" t="str">
        <f>IF(E170="","",VLOOKUP('Opći dio'!$C$3,'Opći dio'!$L$6:$U$135,9,0))</f>
        <v/>
      </c>
      <c r="C170" s="60" t="str">
        <f t="shared" si="12"/>
        <v/>
      </c>
      <c r="D170" s="61" t="str">
        <f t="shared" si="13"/>
        <v/>
      </c>
      <c r="E170" s="62"/>
      <c r="F170" s="63" t="str">
        <f t="shared" si="14"/>
        <v/>
      </c>
      <c r="G170" s="64"/>
      <c r="H170" s="64"/>
      <c r="I170" s="64"/>
      <c r="K170" t="str">
        <f t="shared" si="15"/>
        <v/>
      </c>
      <c r="L170" t="str">
        <f t="shared" si="16"/>
        <v/>
      </c>
    </row>
    <row r="171" spans="1:12">
      <c r="A171" s="59" t="str">
        <f>IF(E171="","",VLOOKUP('Opći dio'!$C$3,'Opći dio'!$L$6:$U$135,10,0))</f>
        <v/>
      </c>
      <c r="B171" s="59" t="str">
        <f>IF(E171="","",VLOOKUP('Opći dio'!$C$3,'Opći dio'!$L$6:$U$135,9,0))</f>
        <v/>
      </c>
      <c r="C171" s="60" t="str">
        <f t="shared" si="12"/>
        <v/>
      </c>
      <c r="D171" s="61" t="str">
        <f t="shared" si="13"/>
        <v/>
      </c>
      <c r="E171" s="62"/>
      <c r="F171" s="63" t="str">
        <f t="shared" si="14"/>
        <v/>
      </c>
      <c r="G171" s="64"/>
      <c r="H171" s="64"/>
      <c r="I171" s="64"/>
      <c r="K171" t="str">
        <f t="shared" si="15"/>
        <v/>
      </c>
      <c r="L171" t="str">
        <f t="shared" si="16"/>
        <v/>
      </c>
    </row>
    <row r="172" spans="1:12">
      <c r="A172" s="59" t="str">
        <f>IF(E172="","",VLOOKUP('Opći dio'!$C$3,'Opći dio'!$L$6:$U$135,10,0))</f>
        <v/>
      </c>
      <c r="B172" s="59" t="str">
        <f>IF(E172="","",VLOOKUP('Opći dio'!$C$3,'Opći dio'!$L$6:$U$135,9,0))</f>
        <v/>
      </c>
      <c r="C172" s="60" t="str">
        <f t="shared" si="12"/>
        <v/>
      </c>
      <c r="D172" s="61" t="str">
        <f t="shared" si="13"/>
        <v/>
      </c>
      <c r="E172" s="62"/>
      <c r="F172" s="63" t="str">
        <f t="shared" si="14"/>
        <v/>
      </c>
      <c r="G172" s="64"/>
      <c r="H172" s="64"/>
      <c r="I172" s="64"/>
      <c r="K172" t="str">
        <f t="shared" si="15"/>
        <v/>
      </c>
      <c r="L172" t="str">
        <f t="shared" si="16"/>
        <v/>
      </c>
    </row>
    <row r="173" spans="1:12">
      <c r="A173" s="59" t="str">
        <f>IF(E173="","",VLOOKUP('Opći dio'!$C$3,'Opći dio'!$L$6:$U$135,10,0))</f>
        <v/>
      </c>
      <c r="B173" s="59" t="str">
        <f>IF(E173="","",VLOOKUP('Opći dio'!$C$3,'Opći dio'!$L$6:$U$135,9,0))</f>
        <v/>
      </c>
      <c r="C173" s="60" t="str">
        <f t="shared" si="12"/>
        <v/>
      </c>
      <c r="D173" s="61" t="str">
        <f t="shared" si="13"/>
        <v/>
      </c>
      <c r="E173" s="62"/>
      <c r="F173" s="63" t="str">
        <f t="shared" si="14"/>
        <v/>
      </c>
      <c r="G173" s="64"/>
      <c r="H173" s="64"/>
      <c r="I173" s="64"/>
      <c r="K173" t="str">
        <f t="shared" si="15"/>
        <v/>
      </c>
      <c r="L173" t="str">
        <f t="shared" si="16"/>
        <v/>
      </c>
    </row>
    <row r="174" spans="1:12">
      <c r="A174" s="59" t="str">
        <f>IF(E174="","",VLOOKUP('Opći dio'!$C$3,'Opći dio'!$L$6:$U$135,10,0))</f>
        <v/>
      </c>
      <c r="B174" s="59" t="str">
        <f>IF(E174="","",VLOOKUP('Opći dio'!$C$3,'Opći dio'!$L$6:$U$135,9,0))</f>
        <v/>
      </c>
      <c r="C174" s="60" t="str">
        <f t="shared" si="12"/>
        <v/>
      </c>
      <c r="D174" s="61" t="str">
        <f t="shared" si="13"/>
        <v/>
      </c>
      <c r="E174" s="62"/>
      <c r="F174" s="63" t="str">
        <f t="shared" si="14"/>
        <v/>
      </c>
      <c r="G174" s="64"/>
      <c r="H174" s="64"/>
      <c r="I174" s="64"/>
      <c r="K174" t="str">
        <f t="shared" si="15"/>
        <v/>
      </c>
      <c r="L174" t="str">
        <f t="shared" si="16"/>
        <v/>
      </c>
    </row>
    <row r="175" spans="1:12">
      <c r="A175" s="59" t="str">
        <f>IF(E175="","",VLOOKUP('Opći dio'!$C$3,'Opći dio'!$L$6:$U$135,10,0))</f>
        <v/>
      </c>
      <c r="B175" s="59" t="str">
        <f>IF(E175="","",VLOOKUP('Opći dio'!$C$3,'Opći dio'!$L$6:$U$135,9,0))</f>
        <v/>
      </c>
      <c r="C175" s="60" t="str">
        <f t="shared" si="12"/>
        <v/>
      </c>
      <c r="D175" s="61" t="str">
        <f t="shared" si="13"/>
        <v/>
      </c>
      <c r="E175" s="62"/>
      <c r="F175" s="63" t="str">
        <f t="shared" si="14"/>
        <v/>
      </c>
      <c r="G175" s="64"/>
      <c r="H175" s="64"/>
      <c r="I175" s="64"/>
      <c r="K175" t="str">
        <f t="shared" si="15"/>
        <v/>
      </c>
      <c r="L175" t="str">
        <f t="shared" si="16"/>
        <v/>
      </c>
    </row>
    <row r="176" spans="1:12">
      <c r="A176" s="59" t="str">
        <f>IF(E176="","",VLOOKUP('Opći dio'!$C$3,'Opći dio'!$L$6:$U$135,10,0))</f>
        <v/>
      </c>
      <c r="B176" s="59" t="str">
        <f>IF(E176="","",VLOOKUP('Opći dio'!$C$3,'Opći dio'!$L$6:$U$135,9,0))</f>
        <v/>
      </c>
      <c r="C176" s="60" t="str">
        <f t="shared" si="12"/>
        <v/>
      </c>
      <c r="D176" s="61" t="str">
        <f t="shared" si="13"/>
        <v/>
      </c>
      <c r="E176" s="62"/>
      <c r="F176" s="63" t="str">
        <f t="shared" si="14"/>
        <v/>
      </c>
      <c r="G176" s="64"/>
      <c r="H176" s="64"/>
      <c r="I176" s="64"/>
      <c r="K176" t="str">
        <f t="shared" si="15"/>
        <v/>
      </c>
      <c r="L176" t="str">
        <f t="shared" si="16"/>
        <v/>
      </c>
    </row>
    <row r="177" spans="1:12">
      <c r="A177" s="59" t="str">
        <f>IF(E177="","",VLOOKUP('Opći dio'!$C$3,'Opći dio'!$L$6:$U$135,10,0))</f>
        <v/>
      </c>
      <c r="B177" s="59" t="str">
        <f>IF(E177="","",VLOOKUP('Opći dio'!$C$3,'Opći dio'!$L$6:$U$135,9,0))</f>
        <v/>
      </c>
      <c r="C177" s="60" t="str">
        <f t="shared" si="12"/>
        <v/>
      </c>
      <c r="D177" s="61" t="str">
        <f t="shared" si="13"/>
        <v/>
      </c>
      <c r="E177" s="62"/>
      <c r="F177" s="63" t="str">
        <f t="shared" si="14"/>
        <v/>
      </c>
      <c r="G177" s="64"/>
      <c r="H177" s="64"/>
      <c r="I177" s="64"/>
      <c r="K177" t="str">
        <f t="shared" si="15"/>
        <v/>
      </c>
      <c r="L177" t="str">
        <f t="shared" si="16"/>
        <v/>
      </c>
    </row>
    <row r="178" spans="1:12">
      <c r="A178" s="59" t="str">
        <f>IF(E178="","",VLOOKUP('Opći dio'!$C$3,'Opći dio'!$L$6:$U$135,10,0))</f>
        <v/>
      </c>
      <c r="B178" s="59" t="str">
        <f>IF(E178="","",VLOOKUP('Opći dio'!$C$3,'Opći dio'!$L$6:$U$135,9,0))</f>
        <v/>
      </c>
      <c r="C178" s="60" t="str">
        <f t="shared" si="12"/>
        <v/>
      </c>
      <c r="D178" s="61" t="str">
        <f t="shared" si="13"/>
        <v/>
      </c>
      <c r="E178" s="62"/>
      <c r="F178" s="63" t="str">
        <f t="shared" si="14"/>
        <v/>
      </c>
      <c r="G178" s="64"/>
      <c r="H178" s="64"/>
      <c r="I178" s="64"/>
      <c r="K178" t="str">
        <f t="shared" si="15"/>
        <v/>
      </c>
      <c r="L178" t="str">
        <f t="shared" si="16"/>
        <v/>
      </c>
    </row>
    <row r="179" spans="1:12">
      <c r="A179" s="59" t="str">
        <f>IF(E179="","",VLOOKUP('Opći dio'!$C$3,'Opći dio'!$L$6:$U$135,10,0))</f>
        <v/>
      </c>
      <c r="B179" s="59" t="str">
        <f>IF(E179="","",VLOOKUP('Opći dio'!$C$3,'Opći dio'!$L$6:$U$135,9,0))</f>
        <v/>
      </c>
      <c r="C179" s="60" t="str">
        <f t="shared" si="12"/>
        <v/>
      </c>
      <c r="D179" s="61" t="str">
        <f t="shared" si="13"/>
        <v/>
      </c>
      <c r="E179" s="62"/>
      <c r="F179" s="63" t="str">
        <f t="shared" si="14"/>
        <v/>
      </c>
      <c r="G179" s="64"/>
      <c r="H179" s="64"/>
      <c r="I179" s="64"/>
      <c r="K179" t="str">
        <f t="shared" si="15"/>
        <v/>
      </c>
      <c r="L179" t="str">
        <f t="shared" si="16"/>
        <v/>
      </c>
    </row>
    <row r="180" spans="1:12">
      <c r="A180" s="59" t="str">
        <f>IF(E180="","",VLOOKUP('Opći dio'!$C$3,'Opći dio'!$L$6:$U$135,10,0))</f>
        <v/>
      </c>
      <c r="B180" s="59" t="str">
        <f>IF(E180="","",VLOOKUP('Opći dio'!$C$3,'Opći dio'!$L$6:$U$135,9,0))</f>
        <v/>
      </c>
      <c r="C180" s="60" t="str">
        <f t="shared" si="12"/>
        <v/>
      </c>
      <c r="D180" s="61" t="str">
        <f t="shared" si="13"/>
        <v/>
      </c>
      <c r="E180" s="62"/>
      <c r="F180" s="63" t="str">
        <f t="shared" si="14"/>
        <v/>
      </c>
      <c r="G180" s="64"/>
      <c r="H180" s="64"/>
      <c r="I180" s="64"/>
      <c r="K180" t="str">
        <f t="shared" si="15"/>
        <v/>
      </c>
      <c r="L180" t="str">
        <f t="shared" si="16"/>
        <v/>
      </c>
    </row>
    <row r="181" spans="1:12">
      <c r="A181" s="59" t="str">
        <f>IF(E181="","",VLOOKUP('Opći dio'!$C$3,'Opći dio'!$L$6:$U$135,10,0))</f>
        <v/>
      </c>
      <c r="B181" s="59" t="str">
        <f>IF(E181="","",VLOOKUP('Opći dio'!$C$3,'Opći dio'!$L$6:$U$135,9,0))</f>
        <v/>
      </c>
      <c r="C181" s="60" t="str">
        <f t="shared" si="12"/>
        <v/>
      </c>
      <c r="D181" s="61" t="str">
        <f t="shared" si="13"/>
        <v/>
      </c>
      <c r="E181" s="62"/>
      <c r="F181" s="63" t="str">
        <f t="shared" si="14"/>
        <v/>
      </c>
      <c r="G181" s="64"/>
      <c r="H181" s="64"/>
      <c r="I181" s="64"/>
      <c r="K181" t="str">
        <f t="shared" si="15"/>
        <v/>
      </c>
      <c r="L181" t="str">
        <f t="shared" si="16"/>
        <v/>
      </c>
    </row>
    <row r="182" spans="1:12">
      <c r="A182" s="59" t="str">
        <f>IF(E182="","",VLOOKUP('Opći dio'!$C$3,'Opći dio'!$L$6:$U$135,10,0))</f>
        <v/>
      </c>
      <c r="B182" s="59" t="str">
        <f>IF(E182="","",VLOOKUP('Opći dio'!$C$3,'Opći dio'!$L$6:$U$135,9,0))</f>
        <v/>
      </c>
      <c r="C182" s="60" t="str">
        <f t="shared" si="12"/>
        <v/>
      </c>
      <c r="D182" s="61" t="str">
        <f t="shared" si="13"/>
        <v/>
      </c>
      <c r="E182" s="62"/>
      <c r="F182" s="63" t="str">
        <f t="shared" si="14"/>
        <v/>
      </c>
      <c r="G182" s="64"/>
      <c r="H182" s="64"/>
      <c r="I182" s="64"/>
      <c r="K182" t="str">
        <f t="shared" si="15"/>
        <v/>
      </c>
      <c r="L182" t="str">
        <f t="shared" si="16"/>
        <v/>
      </c>
    </row>
    <row r="183" spans="1:12">
      <c r="A183" s="59" t="str">
        <f>IF(E183="","",VLOOKUP('Opći dio'!$C$3,'Opći dio'!$L$6:$U$135,10,0))</f>
        <v/>
      </c>
      <c r="B183" s="59" t="str">
        <f>IF(E183="","",VLOOKUP('Opći dio'!$C$3,'Opći dio'!$L$6:$U$135,9,0))</f>
        <v/>
      </c>
      <c r="C183" s="60" t="str">
        <f t="shared" si="12"/>
        <v/>
      </c>
      <c r="D183" s="61" t="str">
        <f t="shared" si="13"/>
        <v/>
      </c>
      <c r="E183" s="62"/>
      <c r="F183" s="63" t="str">
        <f t="shared" si="14"/>
        <v/>
      </c>
      <c r="G183" s="64"/>
      <c r="H183" s="64"/>
      <c r="I183" s="64"/>
      <c r="K183" t="str">
        <f t="shared" si="15"/>
        <v/>
      </c>
      <c r="L183" t="str">
        <f t="shared" si="16"/>
        <v/>
      </c>
    </row>
    <row r="184" spans="1:12">
      <c r="A184" s="59" t="str">
        <f>IF(E184="","",VLOOKUP('Opći dio'!$C$3,'Opći dio'!$L$6:$U$135,10,0))</f>
        <v/>
      </c>
      <c r="B184" s="59" t="str">
        <f>IF(E184="","",VLOOKUP('Opći dio'!$C$3,'Opći dio'!$L$6:$U$135,9,0))</f>
        <v/>
      </c>
      <c r="C184" s="60" t="str">
        <f t="shared" si="12"/>
        <v/>
      </c>
      <c r="D184" s="61" t="str">
        <f t="shared" si="13"/>
        <v/>
      </c>
      <c r="E184" s="62"/>
      <c r="F184" s="63" t="str">
        <f t="shared" si="14"/>
        <v/>
      </c>
      <c r="G184" s="64"/>
      <c r="H184" s="64"/>
      <c r="I184" s="64"/>
      <c r="K184" t="str">
        <f t="shared" si="15"/>
        <v/>
      </c>
      <c r="L184" t="str">
        <f t="shared" si="16"/>
        <v/>
      </c>
    </row>
    <row r="185" spans="1:12">
      <c r="A185" s="59" t="str">
        <f>IF(E185="","",VLOOKUP('Opći dio'!$C$3,'Opći dio'!$L$6:$U$135,10,0))</f>
        <v/>
      </c>
      <c r="B185" s="59" t="str">
        <f>IF(E185="","",VLOOKUP('Opći dio'!$C$3,'Opći dio'!$L$6:$U$135,9,0))</f>
        <v/>
      </c>
      <c r="C185" s="60" t="str">
        <f t="shared" si="12"/>
        <v/>
      </c>
      <c r="D185" s="61" t="str">
        <f t="shared" si="13"/>
        <v/>
      </c>
      <c r="E185" s="62"/>
      <c r="F185" s="63" t="str">
        <f t="shared" si="14"/>
        <v/>
      </c>
      <c r="G185" s="64"/>
      <c r="H185" s="64"/>
      <c r="I185" s="64"/>
      <c r="K185" t="str">
        <f t="shared" si="15"/>
        <v/>
      </c>
      <c r="L185" t="str">
        <f t="shared" si="16"/>
        <v/>
      </c>
    </row>
    <row r="186" spans="1:12">
      <c r="A186" s="59" t="str">
        <f>IF(E186="","",VLOOKUP('Opći dio'!$C$3,'Opći dio'!$L$6:$U$135,10,0))</f>
        <v/>
      </c>
      <c r="B186" s="59" t="str">
        <f>IF(E186="","",VLOOKUP('Opći dio'!$C$3,'Opći dio'!$L$6:$U$135,9,0))</f>
        <v/>
      </c>
      <c r="C186" s="60" t="str">
        <f t="shared" si="12"/>
        <v/>
      </c>
      <c r="D186" s="61" t="str">
        <f t="shared" si="13"/>
        <v/>
      </c>
      <c r="E186" s="62"/>
      <c r="F186" s="63" t="str">
        <f t="shared" si="14"/>
        <v/>
      </c>
      <c r="G186" s="64"/>
      <c r="H186" s="64"/>
      <c r="I186" s="64"/>
      <c r="K186" t="str">
        <f t="shared" si="15"/>
        <v/>
      </c>
      <c r="L186" t="str">
        <f t="shared" si="16"/>
        <v/>
      </c>
    </row>
    <row r="187" spans="1:12">
      <c r="A187" s="59" t="str">
        <f>IF(E187="","",VLOOKUP('Opći dio'!$C$3,'Opći dio'!$L$6:$U$135,10,0))</f>
        <v/>
      </c>
      <c r="B187" s="59" t="str">
        <f>IF(E187="","",VLOOKUP('Opći dio'!$C$3,'Opći dio'!$L$6:$U$135,9,0))</f>
        <v/>
      </c>
      <c r="C187" s="60" t="str">
        <f t="shared" si="12"/>
        <v/>
      </c>
      <c r="D187" s="61" t="str">
        <f t="shared" si="13"/>
        <v/>
      </c>
      <c r="E187" s="62"/>
      <c r="F187" s="63" t="str">
        <f t="shared" si="14"/>
        <v/>
      </c>
      <c r="G187" s="64"/>
      <c r="H187" s="64"/>
      <c r="I187" s="64"/>
      <c r="K187" t="str">
        <f t="shared" si="15"/>
        <v/>
      </c>
      <c r="L187" t="str">
        <f t="shared" si="16"/>
        <v/>
      </c>
    </row>
    <row r="188" spans="1:12">
      <c r="A188" s="59" t="str">
        <f>IF(E188="","",VLOOKUP('Opći dio'!$C$3,'Opći dio'!$L$6:$U$135,10,0))</f>
        <v/>
      </c>
      <c r="B188" s="59" t="str">
        <f>IF(E188="","",VLOOKUP('Opći dio'!$C$3,'Opći dio'!$L$6:$U$135,9,0))</f>
        <v/>
      </c>
      <c r="C188" s="60" t="str">
        <f t="shared" si="12"/>
        <v/>
      </c>
      <c r="D188" s="61" t="str">
        <f t="shared" si="13"/>
        <v/>
      </c>
      <c r="E188" s="62"/>
      <c r="F188" s="63" t="str">
        <f t="shared" si="14"/>
        <v/>
      </c>
      <c r="G188" s="64"/>
      <c r="H188" s="64"/>
      <c r="I188" s="64"/>
      <c r="K188" t="str">
        <f t="shared" si="15"/>
        <v/>
      </c>
      <c r="L188" t="str">
        <f t="shared" si="16"/>
        <v/>
      </c>
    </row>
    <row r="189" spans="1:12">
      <c r="A189" s="59" t="str">
        <f>IF(E189="","",VLOOKUP('Opći dio'!$C$3,'Opći dio'!$L$6:$U$135,10,0))</f>
        <v/>
      </c>
      <c r="B189" s="59" t="str">
        <f>IF(E189="","",VLOOKUP('Opći dio'!$C$3,'Opći dio'!$L$6:$U$135,9,0))</f>
        <v/>
      </c>
      <c r="C189" s="60" t="str">
        <f t="shared" si="12"/>
        <v/>
      </c>
      <c r="D189" s="61" t="str">
        <f t="shared" si="13"/>
        <v/>
      </c>
      <c r="E189" s="62"/>
      <c r="F189" s="63" t="str">
        <f t="shared" si="14"/>
        <v/>
      </c>
      <c r="G189" s="64"/>
      <c r="H189" s="64"/>
      <c r="I189" s="64"/>
      <c r="K189" t="str">
        <f t="shared" si="15"/>
        <v/>
      </c>
      <c r="L189" t="str">
        <f t="shared" si="16"/>
        <v/>
      </c>
    </row>
    <row r="190" spans="1:12">
      <c r="A190" s="59" t="str">
        <f>IF(E190="","",VLOOKUP('Opći dio'!$C$3,'Opći dio'!$L$6:$U$135,10,0))</f>
        <v/>
      </c>
      <c r="B190" s="59" t="str">
        <f>IF(E190="","",VLOOKUP('Opći dio'!$C$3,'Opći dio'!$L$6:$U$135,9,0))</f>
        <v/>
      </c>
      <c r="C190" s="60" t="str">
        <f t="shared" si="12"/>
        <v/>
      </c>
      <c r="D190" s="61" t="str">
        <f t="shared" si="13"/>
        <v/>
      </c>
      <c r="E190" s="62"/>
      <c r="F190" s="63" t="str">
        <f t="shared" si="14"/>
        <v/>
      </c>
      <c r="G190" s="64"/>
      <c r="H190" s="64"/>
      <c r="I190" s="64"/>
      <c r="K190" t="str">
        <f t="shared" si="15"/>
        <v/>
      </c>
      <c r="L190" t="str">
        <f t="shared" si="16"/>
        <v/>
      </c>
    </row>
    <row r="191" spans="1:12">
      <c r="A191" s="59" t="str">
        <f>IF(E191="","",VLOOKUP('Opći dio'!$C$3,'Opći dio'!$L$6:$U$135,10,0))</f>
        <v/>
      </c>
      <c r="B191" s="59" t="str">
        <f>IF(E191="","",VLOOKUP('Opći dio'!$C$3,'Opći dio'!$L$6:$U$135,9,0))</f>
        <v/>
      </c>
      <c r="C191" s="60" t="str">
        <f t="shared" si="12"/>
        <v/>
      </c>
      <c r="D191" s="61" t="str">
        <f t="shared" si="13"/>
        <v/>
      </c>
      <c r="E191" s="62"/>
      <c r="F191" s="63" t="str">
        <f t="shared" si="14"/>
        <v/>
      </c>
      <c r="G191" s="64"/>
      <c r="H191" s="64"/>
      <c r="I191" s="64"/>
      <c r="K191" t="str">
        <f t="shared" si="15"/>
        <v/>
      </c>
      <c r="L191" t="str">
        <f t="shared" si="16"/>
        <v/>
      </c>
    </row>
    <row r="192" spans="1:12">
      <c r="A192" s="59" t="str">
        <f>IF(E192="","",VLOOKUP('Opći dio'!$C$3,'Opći dio'!$L$6:$U$135,10,0))</f>
        <v/>
      </c>
      <c r="B192" s="59" t="str">
        <f>IF(E192="","",VLOOKUP('Opći dio'!$C$3,'Opći dio'!$L$6:$U$135,9,0))</f>
        <v/>
      </c>
      <c r="C192" s="60" t="str">
        <f t="shared" si="12"/>
        <v/>
      </c>
      <c r="D192" s="61" t="str">
        <f t="shared" si="13"/>
        <v/>
      </c>
      <c r="E192" s="62"/>
      <c r="F192" s="63" t="str">
        <f t="shared" si="14"/>
        <v/>
      </c>
      <c r="G192" s="64"/>
      <c r="H192" s="64"/>
      <c r="I192" s="64"/>
      <c r="K192" t="str">
        <f t="shared" si="15"/>
        <v/>
      </c>
      <c r="L192" t="str">
        <f t="shared" si="16"/>
        <v/>
      </c>
    </row>
    <row r="193" spans="1:12">
      <c r="A193" s="59" t="str">
        <f>IF(E193="","",VLOOKUP('Opći dio'!$C$3,'Opći dio'!$L$6:$U$135,10,0))</f>
        <v/>
      </c>
      <c r="B193" s="59" t="str">
        <f>IF(E193="","",VLOOKUP('Opći dio'!$C$3,'Opći dio'!$L$6:$U$135,9,0))</f>
        <v/>
      </c>
      <c r="C193" s="60" t="str">
        <f t="shared" si="12"/>
        <v/>
      </c>
      <c r="D193" s="61" t="str">
        <f t="shared" si="13"/>
        <v/>
      </c>
      <c r="E193" s="62"/>
      <c r="F193" s="63" t="str">
        <f t="shared" si="14"/>
        <v/>
      </c>
      <c r="G193" s="64"/>
      <c r="H193" s="64"/>
      <c r="I193" s="64"/>
      <c r="K193" t="str">
        <f t="shared" si="15"/>
        <v/>
      </c>
      <c r="L193" t="str">
        <f t="shared" si="16"/>
        <v/>
      </c>
    </row>
    <row r="194" spans="1:12">
      <c r="A194" s="59" t="str">
        <f>IF(E194="","",VLOOKUP('Opći dio'!$C$3,'Opći dio'!$L$6:$U$135,10,0))</f>
        <v/>
      </c>
      <c r="B194" s="59" t="str">
        <f>IF(E194="","",VLOOKUP('Opći dio'!$C$3,'Opći dio'!$L$6:$U$135,9,0))</f>
        <v/>
      </c>
      <c r="C194" s="60" t="str">
        <f t="shared" si="12"/>
        <v/>
      </c>
      <c r="D194" s="61" t="str">
        <f t="shared" si="13"/>
        <v/>
      </c>
      <c r="E194" s="62"/>
      <c r="F194" s="63" t="str">
        <f t="shared" si="14"/>
        <v/>
      </c>
      <c r="G194" s="64"/>
      <c r="H194" s="64"/>
      <c r="I194" s="64"/>
      <c r="K194" t="str">
        <f t="shared" si="15"/>
        <v/>
      </c>
      <c r="L194" t="str">
        <f t="shared" si="16"/>
        <v/>
      </c>
    </row>
    <row r="195" spans="1:12">
      <c r="A195" s="59" t="str">
        <f>IF(E195="","",VLOOKUP('Opći dio'!$C$3,'Opći dio'!$L$6:$U$135,10,0))</f>
        <v/>
      </c>
      <c r="B195" s="59" t="str">
        <f>IF(E195="","",VLOOKUP('Opći dio'!$C$3,'Opći dio'!$L$6:$U$135,9,0))</f>
        <v/>
      </c>
      <c r="C195" s="60" t="str">
        <f t="shared" ref="C195:C258" si="17">IFERROR(VLOOKUP(E195,$R$6:$U$73,3,0),"")</f>
        <v/>
      </c>
      <c r="D195" s="61" t="str">
        <f t="shared" ref="D195:D258" si="18">IFERROR(VLOOKUP(E195,$R$6:$U$73,4,0),"")</f>
        <v/>
      </c>
      <c r="E195" s="62"/>
      <c r="F195" s="63" t="str">
        <f t="shared" ref="F195:F258" si="19">IFERROR(VLOOKUP(E195,$R$6:$U$73,2,0),"")</f>
        <v/>
      </c>
      <c r="G195" s="64"/>
      <c r="H195" s="64"/>
      <c r="I195" s="64"/>
      <c r="K195" t="str">
        <f t="shared" ref="K195:K258" si="20">LEFT(E195,3)</f>
        <v/>
      </c>
      <c r="L195" t="str">
        <f t="shared" ref="L195:L258" si="21">LEFT(E195,2)</f>
        <v/>
      </c>
    </row>
    <row r="196" spans="1:12">
      <c r="A196" s="59" t="str">
        <f>IF(E196="","",VLOOKUP('Opći dio'!$C$3,'Opći dio'!$L$6:$U$135,10,0))</f>
        <v/>
      </c>
      <c r="B196" s="59" t="str">
        <f>IF(E196="","",VLOOKUP('Opći dio'!$C$3,'Opći dio'!$L$6:$U$135,9,0))</f>
        <v/>
      </c>
      <c r="C196" s="60" t="str">
        <f t="shared" si="17"/>
        <v/>
      </c>
      <c r="D196" s="61" t="str">
        <f t="shared" si="18"/>
        <v/>
      </c>
      <c r="E196" s="62"/>
      <c r="F196" s="63" t="str">
        <f t="shared" si="19"/>
        <v/>
      </c>
      <c r="G196" s="64"/>
      <c r="H196" s="64"/>
      <c r="I196" s="64"/>
      <c r="K196" t="str">
        <f t="shared" si="20"/>
        <v/>
      </c>
      <c r="L196" t="str">
        <f t="shared" si="21"/>
        <v/>
      </c>
    </row>
    <row r="197" spans="1:12">
      <c r="A197" s="59" t="str">
        <f>IF(E197="","",VLOOKUP('Opći dio'!$C$3,'Opći dio'!$L$6:$U$135,10,0))</f>
        <v/>
      </c>
      <c r="B197" s="59" t="str">
        <f>IF(E197="","",VLOOKUP('Opći dio'!$C$3,'Opći dio'!$L$6:$U$135,9,0))</f>
        <v/>
      </c>
      <c r="C197" s="60" t="str">
        <f t="shared" si="17"/>
        <v/>
      </c>
      <c r="D197" s="61" t="str">
        <f t="shared" si="18"/>
        <v/>
      </c>
      <c r="E197" s="62"/>
      <c r="F197" s="63" t="str">
        <f t="shared" si="19"/>
        <v/>
      </c>
      <c r="G197" s="64"/>
      <c r="H197" s="64"/>
      <c r="I197" s="64"/>
      <c r="K197" t="str">
        <f t="shared" si="20"/>
        <v/>
      </c>
      <c r="L197" t="str">
        <f t="shared" si="21"/>
        <v/>
      </c>
    </row>
    <row r="198" spans="1:12">
      <c r="A198" s="59" t="str">
        <f>IF(E198="","",VLOOKUP('Opći dio'!$C$3,'Opći dio'!$L$6:$U$135,10,0))</f>
        <v/>
      </c>
      <c r="B198" s="59" t="str">
        <f>IF(E198="","",VLOOKUP('Opći dio'!$C$3,'Opći dio'!$L$6:$U$135,9,0))</f>
        <v/>
      </c>
      <c r="C198" s="60" t="str">
        <f t="shared" si="17"/>
        <v/>
      </c>
      <c r="D198" s="61" t="str">
        <f t="shared" si="18"/>
        <v/>
      </c>
      <c r="E198" s="62"/>
      <c r="F198" s="63" t="str">
        <f t="shared" si="19"/>
        <v/>
      </c>
      <c r="G198" s="64"/>
      <c r="H198" s="64"/>
      <c r="I198" s="64"/>
      <c r="K198" t="str">
        <f t="shared" si="20"/>
        <v/>
      </c>
      <c r="L198" t="str">
        <f t="shared" si="21"/>
        <v/>
      </c>
    </row>
    <row r="199" spans="1:12">
      <c r="A199" s="59" t="str">
        <f>IF(E199="","",VLOOKUP('Opći dio'!$C$3,'Opći dio'!$L$6:$U$135,10,0))</f>
        <v/>
      </c>
      <c r="B199" s="59" t="str">
        <f>IF(E199="","",VLOOKUP('Opći dio'!$C$3,'Opći dio'!$L$6:$U$135,9,0))</f>
        <v/>
      </c>
      <c r="C199" s="60" t="str">
        <f t="shared" si="17"/>
        <v/>
      </c>
      <c r="D199" s="61" t="str">
        <f t="shared" si="18"/>
        <v/>
      </c>
      <c r="E199" s="62"/>
      <c r="F199" s="63" t="str">
        <f t="shared" si="19"/>
        <v/>
      </c>
      <c r="G199" s="64"/>
      <c r="H199" s="64"/>
      <c r="I199" s="64"/>
      <c r="K199" t="str">
        <f t="shared" si="20"/>
        <v/>
      </c>
      <c r="L199" t="str">
        <f t="shared" si="21"/>
        <v/>
      </c>
    </row>
    <row r="200" spans="1:12">
      <c r="A200" s="59" t="str">
        <f>IF(E200="","",VLOOKUP('Opći dio'!$C$3,'Opći dio'!$L$6:$U$135,10,0))</f>
        <v/>
      </c>
      <c r="B200" s="59" t="str">
        <f>IF(E200="","",VLOOKUP('Opći dio'!$C$3,'Opći dio'!$L$6:$U$135,9,0))</f>
        <v/>
      </c>
      <c r="C200" s="60" t="str">
        <f t="shared" si="17"/>
        <v/>
      </c>
      <c r="D200" s="61" t="str">
        <f t="shared" si="18"/>
        <v/>
      </c>
      <c r="E200" s="62"/>
      <c r="F200" s="63" t="str">
        <f t="shared" si="19"/>
        <v/>
      </c>
      <c r="G200" s="64"/>
      <c r="H200" s="64"/>
      <c r="I200" s="64"/>
      <c r="K200" t="str">
        <f t="shared" si="20"/>
        <v/>
      </c>
      <c r="L200" t="str">
        <f t="shared" si="21"/>
        <v/>
      </c>
    </row>
    <row r="201" spans="1:12">
      <c r="A201" s="59" t="str">
        <f>IF(E201="","",VLOOKUP('Opći dio'!$C$3,'Opći dio'!$L$6:$U$135,10,0))</f>
        <v/>
      </c>
      <c r="B201" s="59" t="str">
        <f>IF(E201="","",VLOOKUP('Opći dio'!$C$3,'Opći dio'!$L$6:$U$135,9,0))</f>
        <v/>
      </c>
      <c r="C201" s="60" t="str">
        <f t="shared" si="17"/>
        <v/>
      </c>
      <c r="D201" s="61" t="str">
        <f t="shared" si="18"/>
        <v/>
      </c>
      <c r="E201" s="62"/>
      <c r="F201" s="63" t="str">
        <f t="shared" si="19"/>
        <v/>
      </c>
      <c r="G201" s="64"/>
      <c r="H201" s="64"/>
      <c r="I201" s="64"/>
      <c r="K201" t="str">
        <f t="shared" si="20"/>
        <v/>
      </c>
      <c r="L201" t="str">
        <f t="shared" si="21"/>
        <v/>
      </c>
    </row>
    <row r="202" spans="1:12">
      <c r="A202" s="59" t="str">
        <f>IF(E202="","",VLOOKUP('Opći dio'!$C$3,'Opći dio'!$L$6:$U$135,10,0))</f>
        <v/>
      </c>
      <c r="B202" s="59" t="str">
        <f>IF(E202="","",VLOOKUP('Opći dio'!$C$3,'Opći dio'!$L$6:$U$135,9,0))</f>
        <v/>
      </c>
      <c r="C202" s="60" t="str">
        <f t="shared" si="17"/>
        <v/>
      </c>
      <c r="D202" s="61" t="str">
        <f t="shared" si="18"/>
        <v/>
      </c>
      <c r="E202" s="62"/>
      <c r="F202" s="63" t="str">
        <f t="shared" si="19"/>
        <v/>
      </c>
      <c r="G202" s="64"/>
      <c r="H202" s="64"/>
      <c r="I202" s="64"/>
      <c r="K202" t="str">
        <f t="shared" si="20"/>
        <v/>
      </c>
      <c r="L202" t="str">
        <f t="shared" si="21"/>
        <v/>
      </c>
    </row>
    <row r="203" spans="1:12">
      <c r="A203" s="59" t="str">
        <f>IF(E203="","",VLOOKUP('Opći dio'!$C$3,'Opći dio'!$L$6:$U$135,10,0))</f>
        <v/>
      </c>
      <c r="B203" s="59" t="str">
        <f>IF(E203="","",VLOOKUP('Opći dio'!$C$3,'Opći dio'!$L$6:$U$135,9,0))</f>
        <v/>
      </c>
      <c r="C203" s="60" t="str">
        <f t="shared" si="17"/>
        <v/>
      </c>
      <c r="D203" s="61" t="str">
        <f t="shared" si="18"/>
        <v/>
      </c>
      <c r="E203" s="62"/>
      <c r="F203" s="63" t="str">
        <f t="shared" si="19"/>
        <v/>
      </c>
      <c r="G203" s="64"/>
      <c r="H203" s="64"/>
      <c r="I203" s="64"/>
      <c r="K203" t="str">
        <f t="shared" si="20"/>
        <v/>
      </c>
      <c r="L203" t="str">
        <f t="shared" si="21"/>
        <v/>
      </c>
    </row>
    <row r="204" spans="1:12">
      <c r="A204" s="59" t="str">
        <f>IF(E204="","",VLOOKUP('Opći dio'!$C$3,'Opći dio'!$L$6:$U$135,10,0))</f>
        <v/>
      </c>
      <c r="B204" s="59" t="str">
        <f>IF(E204="","",VLOOKUP('Opći dio'!$C$3,'Opći dio'!$L$6:$U$135,9,0))</f>
        <v/>
      </c>
      <c r="C204" s="60" t="str">
        <f t="shared" si="17"/>
        <v/>
      </c>
      <c r="D204" s="61" t="str">
        <f t="shared" si="18"/>
        <v/>
      </c>
      <c r="E204" s="62"/>
      <c r="F204" s="63" t="str">
        <f t="shared" si="19"/>
        <v/>
      </c>
      <c r="G204" s="64"/>
      <c r="H204" s="64"/>
      <c r="I204" s="64"/>
      <c r="K204" t="str">
        <f t="shared" si="20"/>
        <v/>
      </c>
      <c r="L204" t="str">
        <f t="shared" si="21"/>
        <v/>
      </c>
    </row>
    <row r="205" spans="1:12">
      <c r="A205" s="59" t="str">
        <f>IF(E205="","",VLOOKUP('Opći dio'!$C$3,'Opći dio'!$L$6:$U$135,10,0))</f>
        <v/>
      </c>
      <c r="B205" s="59" t="str">
        <f>IF(E205="","",VLOOKUP('Opći dio'!$C$3,'Opći dio'!$L$6:$U$135,9,0))</f>
        <v/>
      </c>
      <c r="C205" s="60" t="str">
        <f t="shared" si="17"/>
        <v/>
      </c>
      <c r="D205" s="61" t="str">
        <f t="shared" si="18"/>
        <v/>
      </c>
      <c r="E205" s="62"/>
      <c r="F205" s="63" t="str">
        <f t="shared" si="19"/>
        <v/>
      </c>
      <c r="G205" s="64"/>
      <c r="H205" s="64"/>
      <c r="I205" s="64"/>
      <c r="K205" t="str">
        <f t="shared" si="20"/>
        <v/>
      </c>
      <c r="L205" t="str">
        <f t="shared" si="21"/>
        <v/>
      </c>
    </row>
    <row r="206" spans="1:12">
      <c r="A206" s="59" t="str">
        <f>IF(E206="","",VLOOKUP('Opći dio'!$C$3,'Opći dio'!$L$6:$U$135,10,0))</f>
        <v/>
      </c>
      <c r="B206" s="59" t="str">
        <f>IF(E206="","",VLOOKUP('Opći dio'!$C$3,'Opći dio'!$L$6:$U$135,9,0))</f>
        <v/>
      </c>
      <c r="C206" s="60" t="str">
        <f t="shared" si="17"/>
        <v/>
      </c>
      <c r="D206" s="61" t="str">
        <f t="shared" si="18"/>
        <v/>
      </c>
      <c r="E206" s="62"/>
      <c r="F206" s="63" t="str">
        <f t="shared" si="19"/>
        <v/>
      </c>
      <c r="G206" s="64"/>
      <c r="H206" s="64"/>
      <c r="I206" s="64"/>
      <c r="K206" t="str">
        <f t="shared" si="20"/>
        <v/>
      </c>
      <c r="L206" t="str">
        <f t="shared" si="21"/>
        <v/>
      </c>
    </row>
    <row r="207" spans="1:12">
      <c r="A207" s="59" t="str">
        <f>IF(E207="","",VLOOKUP('Opći dio'!$C$3,'Opći dio'!$L$6:$U$135,10,0))</f>
        <v/>
      </c>
      <c r="B207" s="59" t="str">
        <f>IF(E207="","",VLOOKUP('Opći dio'!$C$3,'Opći dio'!$L$6:$U$135,9,0))</f>
        <v/>
      </c>
      <c r="C207" s="60" t="str">
        <f t="shared" si="17"/>
        <v/>
      </c>
      <c r="D207" s="61" t="str">
        <f t="shared" si="18"/>
        <v/>
      </c>
      <c r="E207" s="62"/>
      <c r="F207" s="63" t="str">
        <f t="shared" si="19"/>
        <v/>
      </c>
      <c r="G207" s="64"/>
      <c r="H207" s="64"/>
      <c r="I207" s="64"/>
      <c r="K207" t="str">
        <f t="shared" si="20"/>
        <v/>
      </c>
      <c r="L207" t="str">
        <f t="shared" si="21"/>
        <v/>
      </c>
    </row>
    <row r="208" spans="1:12">
      <c r="A208" s="59" t="str">
        <f>IF(E208="","",VLOOKUP('Opći dio'!$C$3,'Opći dio'!$L$6:$U$135,10,0))</f>
        <v/>
      </c>
      <c r="B208" s="59" t="str">
        <f>IF(E208="","",VLOOKUP('Opći dio'!$C$3,'Opći dio'!$L$6:$U$135,9,0))</f>
        <v/>
      </c>
      <c r="C208" s="60" t="str">
        <f t="shared" si="17"/>
        <v/>
      </c>
      <c r="D208" s="61" t="str">
        <f t="shared" si="18"/>
        <v/>
      </c>
      <c r="E208" s="62"/>
      <c r="F208" s="63" t="str">
        <f t="shared" si="19"/>
        <v/>
      </c>
      <c r="G208" s="64"/>
      <c r="H208" s="64"/>
      <c r="I208" s="64"/>
      <c r="K208" t="str">
        <f t="shared" si="20"/>
        <v/>
      </c>
      <c r="L208" t="str">
        <f t="shared" si="21"/>
        <v/>
      </c>
    </row>
    <row r="209" spans="1:12">
      <c r="A209" s="59" t="str">
        <f>IF(E209="","",VLOOKUP('Opći dio'!$C$3,'Opći dio'!$L$6:$U$135,10,0))</f>
        <v/>
      </c>
      <c r="B209" s="59" t="str">
        <f>IF(E209="","",VLOOKUP('Opći dio'!$C$3,'Opći dio'!$L$6:$U$135,9,0))</f>
        <v/>
      </c>
      <c r="C209" s="60" t="str">
        <f t="shared" si="17"/>
        <v/>
      </c>
      <c r="D209" s="61" t="str">
        <f t="shared" si="18"/>
        <v/>
      </c>
      <c r="E209" s="62"/>
      <c r="F209" s="63" t="str">
        <f t="shared" si="19"/>
        <v/>
      </c>
      <c r="G209" s="64"/>
      <c r="H209" s="64"/>
      <c r="I209" s="64"/>
      <c r="K209" t="str">
        <f t="shared" si="20"/>
        <v/>
      </c>
      <c r="L209" t="str">
        <f t="shared" si="21"/>
        <v/>
      </c>
    </row>
    <row r="210" spans="1:12">
      <c r="A210" s="59" t="str">
        <f>IF(E210="","",VLOOKUP('Opći dio'!$C$3,'Opći dio'!$L$6:$U$135,10,0))</f>
        <v/>
      </c>
      <c r="B210" s="59" t="str">
        <f>IF(E210="","",VLOOKUP('Opći dio'!$C$3,'Opći dio'!$L$6:$U$135,9,0))</f>
        <v/>
      </c>
      <c r="C210" s="60" t="str">
        <f t="shared" si="17"/>
        <v/>
      </c>
      <c r="D210" s="61" t="str">
        <f t="shared" si="18"/>
        <v/>
      </c>
      <c r="E210" s="62"/>
      <c r="F210" s="63" t="str">
        <f t="shared" si="19"/>
        <v/>
      </c>
      <c r="G210" s="64"/>
      <c r="H210" s="64"/>
      <c r="I210" s="64"/>
      <c r="K210" t="str">
        <f t="shared" si="20"/>
        <v/>
      </c>
      <c r="L210" t="str">
        <f t="shared" si="21"/>
        <v/>
      </c>
    </row>
    <row r="211" spans="1:12">
      <c r="A211" s="59" t="str">
        <f>IF(E211="","",VLOOKUP('Opći dio'!$C$3,'Opći dio'!$L$6:$U$135,10,0))</f>
        <v/>
      </c>
      <c r="B211" s="59" t="str">
        <f>IF(E211="","",VLOOKUP('Opći dio'!$C$3,'Opći dio'!$L$6:$U$135,9,0))</f>
        <v/>
      </c>
      <c r="C211" s="60" t="str">
        <f t="shared" si="17"/>
        <v/>
      </c>
      <c r="D211" s="61" t="str">
        <f t="shared" si="18"/>
        <v/>
      </c>
      <c r="E211" s="62"/>
      <c r="F211" s="63" t="str">
        <f t="shared" si="19"/>
        <v/>
      </c>
      <c r="G211" s="64"/>
      <c r="H211" s="64"/>
      <c r="I211" s="64"/>
      <c r="K211" t="str">
        <f t="shared" si="20"/>
        <v/>
      </c>
      <c r="L211" t="str">
        <f t="shared" si="21"/>
        <v/>
      </c>
    </row>
    <row r="212" spans="1:12">
      <c r="A212" s="59" t="str">
        <f>IF(E212="","",VLOOKUP('Opći dio'!$C$3,'Opći dio'!$L$6:$U$135,10,0))</f>
        <v/>
      </c>
      <c r="B212" s="59" t="str">
        <f>IF(E212="","",VLOOKUP('Opći dio'!$C$3,'Opći dio'!$L$6:$U$135,9,0))</f>
        <v/>
      </c>
      <c r="C212" s="60" t="str">
        <f t="shared" si="17"/>
        <v/>
      </c>
      <c r="D212" s="61" t="str">
        <f t="shared" si="18"/>
        <v/>
      </c>
      <c r="E212" s="62"/>
      <c r="F212" s="63" t="str">
        <f t="shared" si="19"/>
        <v/>
      </c>
      <c r="G212" s="64"/>
      <c r="H212" s="64"/>
      <c r="I212" s="64"/>
      <c r="K212" t="str">
        <f t="shared" si="20"/>
        <v/>
      </c>
      <c r="L212" t="str">
        <f t="shared" si="21"/>
        <v/>
      </c>
    </row>
    <row r="213" spans="1:12">
      <c r="A213" s="59" t="str">
        <f>IF(E213="","",VLOOKUP('Opći dio'!$C$3,'Opći dio'!$L$6:$U$135,10,0))</f>
        <v/>
      </c>
      <c r="B213" s="59" t="str">
        <f>IF(E213="","",VLOOKUP('Opći dio'!$C$3,'Opći dio'!$L$6:$U$135,9,0))</f>
        <v/>
      </c>
      <c r="C213" s="60" t="str">
        <f t="shared" si="17"/>
        <v/>
      </c>
      <c r="D213" s="61" t="str">
        <f t="shared" si="18"/>
        <v/>
      </c>
      <c r="E213" s="62"/>
      <c r="F213" s="63" t="str">
        <f t="shared" si="19"/>
        <v/>
      </c>
      <c r="G213" s="64"/>
      <c r="H213" s="64"/>
      <c r="I213" s="64"/>
      <c r="K213" t="str">
        <f t="shared" si="20"/>
        <v/>
      </c>
      <c r="L213" t="str">
        <f t="shared" si="21"/>
        <v/>
      </c>
    </row>
    <row r="214" spans="1:12">
      <c r="A214" s="59" t="str">
        <f>IF(E214="","",VLOOKUP('Opći dio'!$C$3,'Opći dio'!$L$6:$U$135,10,0))</f>
        <v/>
      </c>
      <c r="B214" s="59" t="str">
        <f>IF(E214="","",VLOOKUP('Opći dio'!$C$3,'Opći dio'!$L$6:$U$135,9,0))</f>
        <v/>
      </c>
      <c r="C214" s="60" t="str">
        <f t="shared" si="17"/>
        <v/>
      </c>
      <c r="D214" s="61" t="str">
        <f t="shared" si="18"/>
        <v/>
      </c>
      <c r="E214" s="62"/>
      <c r="F214" s="63" t="str">
        <f t="shared" si="19"/>
        <v/>
      </c>
      <c r="G214" s="64"/>
      <c r="H214" s="64"/>
      <c r="I214" s="64"/>
      <c r="K214" t="str">
        <f t="shared" si="20"/>
        <v/>
      </c>
      <c r="L214" t="str">
        <f t="shared" si="21"/>
        <v/>
      </c>
    </row>
    <row r="215" spans="1:12">
      <c r="A215" s="59" t="str">
        <f>IF(E215="","",VLOOKUP('Opći dio'!$C$3,'Opći dio'!$L$6:$U$135,10,0))</f>
        <v/>
      </c>
      <c r="B215" s="59" t="str">
        <f>IF(E215="","",VLOOKUP('Opći dio'!$C$3,'Opći dio'!$L$6:$U$135,9,0))</f>
        <v/>
      </c>
      <c r="C215" s="60" t="str">
        <f t="shared" si="17"/>
        <v/>
      </c>
      <c r="D215" s="61" t="str">
        <f t="shared" si="18"/>
        <v/>
      </c>
      <c r="E215" s="62"/>
      <c r="F215" s="63" t="str">
        <f t="shared" si="19"/>
        <v/>
      </c>
      <c r="G215" s="64"/>
      <c r="H215" s="64"/>
      <c r="I215" s="64"/>
      <c r="K215" t="str">
        <f t="shared" si="20"/>
        <v/>
      </c>
      <c r="L215" t="str">
        <f t="shared" si="21"/>
        <v/>
      </c>
    </row>
    <row r="216" spans="1:12">
      <c r="A216" s="59" t="str">
        <f>IF(E216="","",VLOOKUP('Opći dio'!$C$3,'Opći dio'!$L$6:$U$135,10,0))</f>
        <v/>
      </c>
      <c r="B216" s="59" t="str">
        <f>IF(E216="","",VLOOKUP('Opći dio'!$C$3,'Opći dio'!$L$6:$U$135,9,0))</f>
        <v/>
      </c>
      <c r="C216" s="60" t="str">
        <f t="shared" si="17"/>
        <v/>
      </c>
      <c r="D216" s="61" t="str">
        <f t="shared" si="18"/>
        <v/>
      </c>
      <c r="E216" s="62"/>
      <c r="F216" s="63" t="str">
        <f t="shared" si="19"/>
        <v/>
      </c>
      <c r="G216" s="64"/>
      <c r="H216" s="64"/>
      <c r="I216" s="64"/>
      <c r="K216" t="str">
        <f t="shared" si="20"/>
        <v/>
      </c>
      <c r="L216" t="str">
        <f t="shared" si="21"/>
        <v/>
      </c>
    </row>
    <row r="217" spans="1:12">
      <c r="A217" s="59" t="str">
        <f>IF(E217="","",VLOOKUP('Opći dio'!$C$3,'Opći dio'!$L$6:$U$135,10,0))</f>
        <v/>
      </c>
      <c r="B217" s="59" t="str">
        <f>IF(E217="","",VLOOKUP('Opći dio'!$C$3,'Opći dio'!$L$6:$U$135,9,0))</f>
        <v/>
      </c>
      <c r="C217" s="60" t="str">
        <f t="shared" si="17"/>
        <v/>
      </c>
      <c r="D217" s="61" t="str">
        <f t="shared" si="18"/>
        <v/>
      </c>
      <c r="E217" s="62"/>
      <c r="F217" s="63" t="str">
        <f t="shared" si="19"/>
        <v/>
      </c>
      <c r="G217" s="64"/>
      <c r="H217" s="64"/>
      <c r="I217" s="64"/>
      <c r="K217" t="str">
        <f t="shared" si="20"/>
        <v/>
      </c>
      <c r="L217" t="str">
        <f t="shared" si="21"/>
        <v/>
      </c>
    </row>
    <row r="218" spans="1:12">
      <c r="A218" s="59" t="str">
        <f>IF(E218="","",VLOOKUP('Opći dio'!$C$3,'Opći dio'!$L$6:$U$135,10,0))</f>
        <v/>
      </c>
      <c r="B218" s="59" t="str">
        <f>IF(E218="","",VLOOKUP('Opći dio'!$C$3,'Opći dio'!$L$6:$U$135,9,0))</f>
        <v/>
      </c>
      <c r="C218" s="60" t="str">
        <f t="shared" si="17"/>
        <v/>
      </c>
      <c r="D218" s="61" t="str">
        <f t="shared" si="18"/>
        <v/>
      </c>
      <c r="E218" s="62"/>
      <c r="F218" s="63" t="str">
        <f t="shared" si="19"/>
        <v/>
      </c>
      <c r="G218" s="64"/>
      <c r="H218" s="64"/>
      <c r="I218" s="64"/>
      <c r="K218" t="str">
        <f t="shared" si="20"/>
        <v/>
      </c>
      <c r="L218" t="str">
        <f t="shared" si="21"/>
        <v/>
      </c>
    </row>
    <row r="219" spans="1:12">
      <c r="A219" s="59" t="str">
        <f>IF(E219="","",VLOOKUP('Opći dio'!$C$3,'Opći dio'!$L$6:$U$135,10,0))</f>
        <v/>
      </c>
      <c r="B219" s="59" t="str">
        <f>IF(E219="","",VLOOKUP('Opći dio'!$C$3,'Opći dio'!$L$6:$U$135,9,0))</f>
        <v/>
      </c>
      <c r="C219" s="60" t="str">
        <f t="shared" si="17"/>
        <v/>
      </c>
      <c r="D219" s="61" t="str">
        <f t="shared" si="18"/>
        <v/>
      </c>
      <c r="E219" s="62"/>
      <c r="F219" s="63" t="str">
        <f t="shared" si="19"/>
        <v/>
      </c>
      <c r="G219" s="64"/>
      <c r="H219" s="64"/>
      <c r="I219" s="64"/>
      <c r="K219" t="str">
        <f t="shared" si="20"/>
        <v/>
      </c>
      <c r="L219" t="str">
        <f t="shared" si="21"/>
        <v/>
      </c>
    </row>
    <row r="220" spans="1:12">
      <c r="A220" s="59" t="str">
        <f>IF(E220="","",VLOOKUP('Opći dio'!$C$3,'Opći dio'!$L$6:$U$135,10,0))</f>
        <v/>
      </c>
      <c r="B220" s="59" t="str">
        <f>IF(E220="","",VLOOKUP('Opći dio'!$C$3,'Opći dio'!$L$6:$U$135,9,0))</f>
        <v/>
      </c>
      <c r="C220" s="60" t="str">
        <f t="shared" si="17"/>
        <v/>
      </c>
      <c r="D220" s="61" t="str">
        <f t="shared" si="18"/>
        <v/>
      </c>
      <c r="E220" s="62"/>
      <c r="F220" s="63" t="str">
        <f t="shared" si="19"/>
        <v/>
      </c>
      <c r="G220" s="64"/>
      <c r="H220" s="64"/>
      <c r="I220" s="64"/>
      <c r="K220" t="str">
        <f t="shared" si="20"/>
        <v/>
      </c>
      <c r="L220" t="str">
        <f t="shared" si="21"/>
        <v/>
      </c>
    </row>
    <row r="221" spans="1:12">
      <c r="A221" s="59" t="str">
        <f>IF(E221="","",VLOOKUP('Opći dio'!$C$3,'Opći dio'!$L$6:$U$135,10,0))</f>
        <v/>
      </c>
      <c r="B221" s="59" t="str">
        <f>IF(E221="","",VLOOKUP('Opći dio'!$C$3,'Opći dio'!$L$6:$U$135,9,0))</f>
        <v/>
      </c>
      <c r="C221" s="60" t="str">
        <f t="shared" si="17"/>
        <v/>
      </c>
      <c r="D221" s="61" t="str">
        <f t="shared" si="18"/>
        <v/>
      </c>
      <c r="E221" s="62"/>
      <c r="F221" s="63" t="str">
        <f t="shared" si="19"/>
        <v/>
      </c>
      <c r="G221" s="64"/>
      <c r="H221" s="64"/>
      <c r="I221" s="64"/>
      <c r="K221" t="str">
        <f t="shared" si="20"/>
        <v/>
      </c>
      <c r="L221" t="str">
        <f t="shared" si="21"/>
        <v/>
      </c>
    </row>
    <row r="222" spans="1:12">
      <c r="A222" s="59" t="str">
        <f>IF(E222="","",VLOOKUP('Opći dio'!$C$3,'Opći dio'!$L$6:$U$135,10,0))</f>
        <v/>
      </c>
      <c r="B222" s="59" t="str">
        <f>IF(E222="","",VLOOKUP('Opći dio'!$C$3,'Opći dio'!$L$6:$U$135,9,0))</f>
        <v/>
      </c>
      <c r="C222" s="60" t="str">
        <f t="shared" si="17"/>
        <v/>
      </c>
      <c r="D222" s="61" t="str">
        <f t="shared" si="18"/>
        <v/>
      </c>
      <c r="E222" s="62"/>
      <c r="F222" s="63" t="str">
        <f t="shared" si="19"/>
        <v/>
      </c>
      <c r="G222" s="64"/>
      <c r="H222" s="64"/>
      <c r="I222" s="64"/>
      <c r="K222" t="str">
        <f t="shared" si="20"/>
        <v/>
      </c>
      <c r="L222" t="str">
        <f t="shared" si="21"/>
        <v/>
      </c>
    </row>
    <row r="223" spans="1:12">
      <c r="A223" s="59" t="str">
        <f>IF(E223="","",VLOOKUP('Opći dio'!$C$3,'Opći dio'!$L$6:$U$135,10,0))</f>
        <v/>
      </c>
      <c r="B223" s="59" t="str">
        <f>IF(E223="","",VLOOKUP('Opći dio'!$C$3,'Opći dio'!$L$6:$U$135,9,0))</f>
        <v/>
      </c>
      <c r="C223" s="60" t="str">
        <f t="shared" si="17"/>
        <v/>
      </c>
      <c r="D223" s="61" t="str">
        <f t="shared" si="18"/>
        <v/>
      </c>
      <c r="E223" s="62"/>
      <c r="F223" s="63" t="str">
        <f t="shared" si="19"/>
        <v/>
      </c>
      <c r="G223" s="64"/>
      <c r="H223" s="64"/>
      <c r="I223" s="64"/>
      <c r="K223" t="str">
        <f t="shared" si="20"/>
        <v/>
      </c>
      <c r="L223" t="str">
        <f t="shared" si="21"/>
        <v/>
      </c>
    </row>
    <row r="224" spans="1:12">
      <c r="A224" s="59" t="str">
        <f>IF(E224="","",VLOOKUP('Opći dio'!$C$3,'Opći dio'!$L$6:$U$135,10,0))</f>
        <v/>
      </c>
      <c r="B224" s="59" t="str">
        <f>IF(E224="","",VLOOKUP('Opći dio'!$C$3,'Opći dio'!$L$6:$U$135,9,0))</f>
        <v/>
      </c>
      <c r="C224" s="60" t="str">
        <f t="shared" si="17"/>
        <v/>
      </c>
      <c r="D224" s="61" t="str">
        <f t="shared" si="18"/>
        <v/>
      </c>
      <c r="E224" s="62"/>
      <c r="F224" s="63" t="str">
        <f t="shared" si="19"/>
        <v/>
      </c>
      <c r="G224" s="64"/>
      <c r="H224" s="64"/>
      <c r="I224" s="64"/>
      <c r="K224" t="str">
        <f t="shared" si="20"/>
        <v/>
      </c>
      <c r="L224" t="str">
        <f t="shared" si="21"/>
        <v/>
      </c>
    </row>
    <row r="225" spans="1:12">
      <c r="A225" s="59" t="str">
        <f>IF(E225="","",VLOOKUP('Opći dio'!$C$3,'Opći dio'!$L$6:$U$135,10,0))</f>
        <v/>
      </c>
      <c r="B225" s="59" t="str">
        <f>IF(E225="","",VLOOKUP('Opći dio'!$C$3,'Opći dio'!$L$6:$U$135,9,0))</f>
        <v/>
      </c>
      <c r="C225" s="60" t="str">
        <f t="shared" si="17"/>
        <v/>
      </c>
      <c r="D225" s="61" t="str">
        <f t="shared" si="18"/>
        <v/>
      </c>
      <c r="E225" s="62"/>
      <c r="F225" s="63" t="str">
        <f t="shared" si="19"/>
        <v/>
      </c>
      <c r="G225" s="64"/>
      <c r="H225" s="64"/>
      <c r="I225" s="64"/>
      <c r="K225" t="str">
        <f t="shared" si="20"/>
        <v/>
      </c>
      <c r="L225" t="str">
        <f t="shared" si="21"/>
        <v/>
      </c>
    </row>
    <row r="226" spans="1:12">
      <c r="A226" s="59" t="str">
        <f>IF(E226="","",VLOOKUP('Opći dio'!$C$3,'Opći dio'!$L$6:$U$135,10,0))</f>
        <v/>
      </c>
      <c r="B226" s="59" t="str">
        <f>IF(E226="","",VLOOKUP('Opći dio'!$C$3,'Opći dio'!$L$6:$U$135,9,0))</f>
        <v/>
      </c>
      <c r="C226" s="60" t="str">
        <f t="shared" si="17"/>
        <v/>
      </c>
      <c r="D226" s="61" t="str">
        <f t="shared" si="18"/>
        <v/>
      </c>
      <c r="E226" s="62"/>
      <c r="F226" s="63" t="str">
        <f t="shared" si="19"/>
        <v/>
      </c>
      <c r="G226" s="64"/>
      <c r="H226" s="64"/>
      <c r="I226" s="64"/>
      <c r="K226" t="str">
        <f t="shared" si="20"/>
        <v/>
      </c>
      <c r="L226" t="str">
        <f t="shared" si="21"/>
        <v/>
      </c>
    </row>
    <row r="227" spans="1:12">
      <c r="A227" s="59" t="str">
        <f>IF(E227="","",VLOOKUP('Opći dio'!$C$3,'Opći dio'!$L$6:$U$135,10,0))</f>
        <v/>
      </c>
      <c r="B227" s="59" t="str">
        <f>IF(E227="","",VLOOKUP('Opći dio'!$C$3,'Opći dio'!$L$6:$U$135,9,0))</f>
        <v/>
      </c>
      <c r="C227" s="60" t="str">
        <f t="shared" si="17"/>
        <v/>
      </c>
      <c r="D227" s="61" t="str">
        <f t="shared" si="18"/>
        <v/>
      </c>
      <c r="E227" s="62"/>
      <c r="F227" s="63" t="str">
        <f t="shared" si="19"/>
        <v/>
      </c>
      <c r="G227" s="64"/>
      <c r="H227" s="64"/>
      <c r="I227" s="64"/>
      <c r="K227" t="str">
        <f t="shared" si="20"/>
        <v/>
      </c>
      <c r="L227" t="str">
        <f t="shared" si="21"/>
        <v/>
      </c>
    </row>
    <row r="228" spans="1:12">
      <c r="A228" s="59" t="str">
        <f>IF(E228="","",VLOOKUP('Opći dio'!$C$3,'Opći dio'!$L$6:$U$135,10,0))</f>
        <v/>
      </c>
      <c r="B228" s="59" t="str">
        <f>IF(E228="","",VLOOKUP('Opći dio'!$C$3,'Opći dio'!$L$6:$U$135,9,0))</f>
        <v/>
      </c>
      <c r="C228" s="60" t="str">
        <f t="shared" si="17"/>
        <v/>
      </c>
      <c r="D228" s="61" t="str">
        <f t="shared" si="18"/>
        <v/>
      </c>
      <c r="E228" s="62"/>
      <c r="F228" s="63" t="str">
        <f t="shared" si="19"/>
        <v/>
      </c>
      <c r="G228" s="64"/>
      <c r="H228" s="64"/>
      <c r="I228" s="64"/>
      <c r="K228" t="str">
        <f t="shared" si="20"/>
        <v/>
      </c>
      <c r="L228" t="str">
        <f t="shared" si="21"/>
        <v/>
      </c>
    </row>
    <row r="229" spans="1:12">
      <c r="A229" s="59" t="str">
        <f>IF(E229="","",VLOOKUP('Opći dio'!$C$3,'Opći dio'!$L$6:$U$135,10,0))</f>
        <v/>
      </c>
      <c r="B229" s="59" t="str">
        <f>IF(E229="","",VLOOKUP('Opći dio'!$C$3,'Opći dio'!$L$6:$U$135,9,0))</f>
        <v/>
      </c>
      <c r="C229" s="60" t="str">
        <f t="shared" si="17"/>
        <v/>
      </c>
      <c r="D229" s="61" t="str">
        <f t="shared" si="18"/>
        <v/>
      </c>
      <c r="E229" s="62"/>
      <c r="F229" s="63" t="str">
        <f t="shared" si="19"/>
        <v/>
      </c>
      <c r="G229" s="64"/>
      <c r="H229" s="64"/>
      <c r="I229" s="64"/>
      <c r="K229" t="str">
        <f t="shared" si="20"/>
        <v/>
      </c>
      <c r="L229" t="str">
        <f t="shared" si="21"/>
        <v/>
      </c>
    </row>
    <row r="230" spans="1:12">
      <c r="A230" s="59" t="str">
        <f>IF(E230="","",VLOOKUP('Opći dio'!$C$3,'Opći dio'!$L$6:$U$135,10,0))</f>
        <v/>
      </c>
      <c r="B230" s="59" t="str">
        <f>IF(E230="","",VLOOKUP('Opći dio'!$C$3,'Opći dio'!$L$6:$U$135,9,0))</f>
        <v/>
      </c>
      <c r="C230" s="60" t="str">
        <f t="shared" si="17"/>
        <v/>
      </c>
      <c r="D230" s="61" t="str">
        <f t="shared" si="18"/>
        <v/>
      </c>
      <c r="E230" s="62"/>
      <c r="F230" s="63" t="str">
        <f t="shared" si="19"/>
        <v/>
      </c>
      <c r="G230" s="64"/>
      <c r="H230" s="64"/>
      <c r="I230" s="64"/>
      <c r="K230" t="str">
        <f t="shared" si="20"/>
        <v/>
      </c>
      <c r="L230" t="str">
        <f t="shared" si="21"/>
        <v/>
      </c>
    </row>
    <row r="231" spans="1:12">
      <c r="A231" s="59" t="str">
        <f>IF(E231="","",VLOOKUP('Opći dio'!$C$3,'Opći dio'!$L$6:$U$135,10,0))</f>
        <v/>
      </c>
      <c r="B231" s="59" t="str">
        <f>IF(E231="","",VLOOKUP('Opći dio'!$C$3,'Opći dio'!$L$6:$U$135,9,0))</f>
        <v/>
      </c>
      <c r="C231" s="60" t="str">
        <f t="shared" si="17"/>
        <v/>
      </c>
      <c r="D231" s="61" t="str">
        <f t="shared" si="18"/>
        <v/>
      </c>
      <c r="E231" s="62"/>
      <c r="F231" s="63" t="str">
        <f t="shared" si="19"/>
        <v/>
      </c>
      <c r="G231" s="64"/>
      <c r="H231" s="64"/>
      <c r="I231" s="64"/>
      <c r="K231" t="str">
        <f t="shared" si="20"/>
        <v/>
      </c>
      <c r="L231" t="str">
        <f t="shared" si="21"/>
        <v/>
      </c>
    </row>
    <row r="232" spans="1:12">
      <c r="A232" s="59" t="str">
        <f>IF(E232="","",VLOOKUP('Opći dio'!$C$3,'Opći dio'!$L$6:$U$135,10,0))</f>
        <v/>
      </c>
      <c r="B232" s="59" t="str">
        <f>IF(E232="","",VLOOKUP('Opći dio'!$C$3,'Opći dio'!$L$6:$U$135,9,0))</f>
        <v/>
      </c>
      <c r="C232" s="60" t="str">
        <f t="shared" si="17"/>
        <v/>
      </c>
      <c r="D232" s="61" t="str">
        <f t="shared" si="18"/>
        <v/>
      </c>
      <c r="E232" s="62"/>
      <c r="F232" s="63" t="str">
        <f t="shared" si="19"/>
        <v/>
      </c>
      <c r="G232" s="64"/>
      <c r="H232" s="64"/>
      <c r="I232" s="64"/>
      <c r="K232" t="str">
        <f t="shared" si="20"/>
        <v/>
      </c>
      <c r="L232" t="str">
        <f t="shared" si="21"/>
        <v/>
      </c>
    </row>
    <row r="233" spans="1:12">
      <c r="A233" s="59" t="str">
        <f>IF(E233="","",VLOOKUP('Opći dio'!$C$3,'Opći dio'!$L$6:$U$135,10,0))</f>
        <v/>
      </c>
      <c r="B233" s="59" t="str">
        <f>IF(E233="","",VLOOKUP('Opći dio'!$C$3,'Opći dio'!$L$6:$U$135,9,0))</f>
        <v/>
      </c>
      <c r="C233" s="60" t="str">
        <f t="shared" si="17"/>
        <v/>
      </c>
      <c r="D233" s="61" t="str">
        <f t="shared" si="18"/>
        <v/>
      </c>
      <c r="E233" s="62"/>
      <c r="F233" s="63" t="str">
        <f t="shared" si="19"/>
        <v/>
      </c>
      <c r="G233" s="64"/>
      <c r="H233" s="64"/>
      <c r="I233" s="64"/>
      <c r="K233" t="str">
        <f t="shared" si="20"/>
        <v/>
      </c>
      <c r="L233" t="str">
        <f t="shared" si="21"/>
        <v/>
      </c>
    </row>
    <row r="234" spans="1:12">
      <c r="A234" s="59" t="str">
        <f>IF(E234="","",VLOOKUP('Opći dio'!$C$3,'Opći dio'!$L$6:$U$135,10,0))</f>
        <v/>
      </c>
      <c r="B234" s="59" t="str">
        <f>IF(E234="","",VLOOKUP('Opći dio'!$C$3,'Opći dio'!$L$6:$U$135,9,0))</f>
        <v/>
      </c>
      <c r="C234" s="60" t="str">
        <f t="shared" si="17"/>
        <v/>
      </c>
      <c r="D234" s="61" t="str">
        <f t="shared" si="18"/>
        <v/>
      </c>
      <c r="E234" s="62"/>
      <c r="F234" s="63" t="str">
        <f t="shared" si="19"/>
        <v/>
      </c>
      <c r="G234" s="64"/>
      <c r="H234" s="64"/>
      <c r="I234" s="64"/>
      <c r="K234" t="str">
        <f t="shared" si="20"/>
        <v/>
      </c>
      <c r="L234" t="str">
        <f t="shared" si="21"/>
        <v/>
      </c>
    </row>
    <row r="235" spans="1:12">
      <c r="A235" s="59" t="str">
        <f>IF(E235="","",VLOOKUP('Opći dio'!$C$3,'Opći dio'!$L$6:$U$135,10,0))</f>
        <v/>
      </c>
      <c r="B235" s="59" t="str">
        <f>IF(E235="","",VLOOKUP('Opći dio'!$C$3,'Opći dio'!$L$6:$U$135,9,0))</f>
        <v/>
      </c>
      <c r="C235" s="60" t="str">
        <f t="shared" si="17"/>
        <v/>
      </c>
      <c r="D235" s="61" t="str">
        <f t="shared" si="18"/>
        <v/>
      </c>
      <c r="E235" s="62"/>
      <c r="F235" s="63" t="str">
        <f t="shared" si="19"/>
        <v/>
      </c>
      <c r="G235" s="64"/>
      <c r="H235" s="64"/>
      <c r="I235" s="64"/>
      <c r="K235" t="str">
        <f t="shared" si="20"/>
        <v/>
      </c>
      <c r="L235" t="str">
        <f t="shared" si="21"/>
        <v/>
      </c>
    </row>
    <row r="236" spans="1:12">
      <c r="A236" s="59" t="str">
        <f>IF(E236="","",VLOOKUP('Opći dio'!$C$3,'Opći dio'!$L$6:$U$135,10,0))</f>
        <v/>
      </c>
      <c r="B236" s="59" t="str">
        <f>IF(E236="","",VLOOKUP('Opći dio'!$C$3,'Opći dio'!$L$6:$U$135,9,0))</f>
        <v/>
      </c>
      <c r="C236" s="60" t="str">
        <f t="shared" si="17"/>
        <v/>
      </c>
      <c r="D236" s="61" t="str">
        <f t="shared" si="18"/>
        <v/>
      </c>
      <c r="E236" s="62"/>
      <c r="F236" s="63" t="str">
        <f t="shared" si="19"/>
        <v/>
      </c>
      <c r="G236" s="64"/>
      <c r="H236" s="64"/>
      <c r="I236" s="64"/>
      <c r="K236" t="str">
        <f t="shared" si="20"/>
        <v/>
      </c>
      <c r="L236" t="str">
        <f t="shared" si="21"/>
        <v/>
      </c>
    </row>
    <row r="237" spans="1:12">
      <c r="A237" s="59" t="str">
        <f>IF(E237="","",VLOOKUP('Opći dio'!$C$3,'Opći dio'!$L$6:$U$135,10,0))</f>
        <v/>
      </c>
      <c r="B237" s="59" t="str">
        <f>IF(E237="","",VLOOKUP('Opći dio'!$C$3,'Opći dio'!$L$6:$U$135,9,0))</f>
        <v/>
      </c>
      <c r="C237" s="60" t="str">
        <f t="shared" si="17"/>
        <v/>
      </c>
      <c r="D237" s="61" t="str">
        <f t="shared" si="18"/>
        <v/>
      </c>
      <c r="E237" s="62"/>
      <c r="F237" s="63" t="str">
        <f t="shared" si="19"/>
        <v/>
      </c>
      <c r="G237" s="64"/>
      <c r="H237" s="64"/>
      <c r="I237" s="64"/>
      <c r="K237" t="str">
        <f t="shared" si="20"/>
        <v/>
      </c>
      <c r="L237" t="str">
        <f t="shared" si="21"/>
        <v/>
      </c>
    </row>
    <row r="238" spans="1:12">
      <c r="A238" s="59" t="str">
        <f>IF(E238="","",VLOOKUP('Opći dio'!$C$3,'Opći dio'!$L$6:$U$135,10,0))</f>
        <v/>
      </c>
      <c r="B238" s="59" t="str">
        <f>IF(E238="","",VLOOKUP('Opći dio'!$C$3,'Opći dio'!$L$6:$U$135,9,0))</f>
        <v/>
      </c>
      <c r="C238" s="60" t="str">
        <f t="shared" si="17"/>
        <v/>
      </c>
      <c r="D238" s="61" t="str">
        <f t="shared" si="18"/>
        <v/>
      </c>
      <c r="E238" s="62"/>
      <c r="F238" s="63" t="str">
        <f t="shared" si="19"/>
        <v/>
      </c>
      <c r="G238" s="64"/>
      <c r="H238" s="64"/>
      <c r="I238" s="64"/>
      <c r="K238" t="str">
        <f t="shared" si="20"/>
        <v/>
      </c>
      <c r="L238" t="str">
        <f t="shared" si="21"/>
        <v/>
      </c>
    </row>
    <row r="239" spans="1:12">
      <c r="A239" s="59" t="str">
        <f>IF(E239="","",VLOOKUP('Opći dio'!$C$3,'Opći dio'!$L$6:$U$135,10,0))</f>
        <v/>
      </c>
      <c r="B239" s="59" t="str">
        <f>IF(E239="","",VLOOKUP('Opći dio'!$C$3,'Opći dio'!$L$6:$U$135,9,0))</f>
        <v/>
      </c>
      <c r="C239" s="60" t="str">
        <f t="shared" si="17"/>
        <v/>
      </c>
      <c r="D239" s="61" t="str">
        <f t="shared" si="18"/>
        <v/>
      </c>
      <c r="E239" s="62"/>
      <c r="F239" s="63" t="str">
        <f t="shared" si="19"/>
        <v/>
      </c>
      <c r="G239" s="64"/>
      <c r="H239" s="64"/>
      <c r="I239" s="64"/>
      <c r="K239" t="str">
        <f t="shared" si="20"/>
        <v/>
      </c>
      <c r="L239" t="str">
        <f t="shared" si="21"/>
        <v/>
      </c>
    </row>
    <row r="240" spans="1:12">
      <c r="A240" s="59" t="str">
        <f>IF(E240="","",VLOOKUP('Opći dio'!$C$3,'Opći dio'!$L$6:$U$135,10,0))</f>
        <v/>
      </c>
      <c r="B240" s="59" t="str">
        <f>IF(E240="","",VLOOKUP('Opći dio'!$C$3,'Opći dio'!$L$6:$U$135,9,0))</f>
        <v/>
      </c>
      <c r="C240" s="60" t="str">
        <f t="shared" si="17"/>
        <v/>
      </c>
      <c r="D240" s="61" t="str">
        <f t="shared" si="18"/>
        <v/>
      </c>
      <c r="E240" s="62"/>
      <c r="F240" s="63" t="str">
        <f t="shared" si="19"/>
        <v/>
      </c>
      <c r="G240" s="64"/>
      <c r="H240" s="64"/>
      <c r="I240" s="64"/>
      <c r="K240" t="str">
        <f t="shared" si="20"/>
        <v/>
      </c>
      <c r="L240" t="str">
        <f t="shared" si="21"/>
        <v/>
      </c>
    </row>
    <row r="241" spans="1:12">
      <c r="A241" s="59" t="str">
        <f>IF(E241="","",VLOOKUP('Opći dio'!$C$3,'Opći dio'!$L$6:$U$135,10,0))</f>
        <v/>
      </c>
      <c r="B241" s="59" t="str">
        <f>IF(E241="","",VLOOKUP('Opći dio'!$C$3,'Opći dio'!$L$6:$U$135,9,0))</f>
        <v/>
      </c>
      <c r="C241" s="60" t="str">
        <f t="shared" si="17"/>
        <v/>
      </c>
      <c r="D241" s="61" t="str">
        <f t="shared" si="18"/>
        <v/>
      </c>
      <c r="E241" s="62"/>
      <c r="F241" s="63" t="str">
        <f t="shared" si="19"/>
        <v/>
      </c>
      <c r="G241" s="64"/>
      <c r="H241" s="64"/>
      <c r="I241" s="64"/>
      <c r="K241" t="str">
        <f t="shared" si="20"/>
        <v/>
      </c>
      <c r="L241" t="str">
        <f t="shared" si="21"/>
        <v/>
      </c>
    </row>
    <row r="242" spans="1:12">
      <c r="A242" s="59" t="str">
        <f>IF(E242="","",VLOOKUP('Opći dio'!$C$3,'Opći dio'!$L$6:$U$135,10,0))</f>
        <v/>
      </c>
      <c r="B242" s="59" t="str">
        <f>IF(E242="","",VLOOKUP('Opći dio'!$C$3,'Opći dio'!$L$6:$U$135,9,0))</f>
        <v/>
      </c>
      <c r="C242" s="60" t="str">
        <f t="shared" si="17"/>
        <v/>
      </c>
      <c r="D242" s="61" t="str">
        <f t="shared" si="18"/>
        <v/>
      </c>
      <c r="E242" s="62"/>
      <c r="F242" s="63" t="str">
        <f t="shared" si="19"/>
        <v/>
      </c>
      <c r="G242" s="64"/>
      <c r="H242" s="64"/>
      <c r="I242" s="64"/>
      <c r="K242" t="str">
        <f t="shared" si="20"/>
        <v/>
      </c>
      <c r="L242" t="str">
        <f t="shared" si="21"/>
        <v/>
      </c>
    </row>
    <row r="243" spans="1:12">
      <c r="A243" s="59" t="str">
        <f>IF(E243="","",VLOOKUP('Opći dio'!$C$3,'Opći dio'!$L$6:$U$135,10,0))</f>
        <v/>
      </c>
      <c r="B243" s="59" t="str">
        <f>IF(E243="","",VLOOKUP('Opći dio'!$C$3,'Opći dio'!$L$6:$U$135,9,0))</f>
        <v/>
      </c>
      <c r="C243" s="60" t="str">
        <f t="shared" si="17"/>
        <v/>
      </c>
      <c r="D243" s="61" t="str">
        <f t="shared" si="18"/>
        <v/>
      </c>
      <c r="E243" s="62"/>
      <c r="F243" s="63" t="str">
        <f t="shared" si="19"/>
        <v/>
      </c>
      <c r="G243" s="64"/>
      <c r="H243" s="64"/>
      <c r="I243" s="64"/>
      <c r="K243" t="str">
        <f t="shared" si="20"/>
        <v/>
      </c>
      <c r="L243" t="str">
        <f t="shared" si="21"/>
        <v/>
      </c>
    </row>
    <row r="244" spans="1:12">
      <c r="A244" s="59" t="str">
        <f>IF(E244="","",VLOOKUP('Opći dio'!$C$3,'Opći dio'!$L$6:$U$135,10,0))</f>
        <v/>
      </c>
      <c r="B244" s="59" t="str">
        <f>IF(E244="","",VLOOKUP('Opći dio'!$C$3,'Opći dio'!$L$6:$U$135,9,0))</f>
        <v/>
      </c>
      <c r="C244" s="60" t="str">
        <f t="shared" si="17"/>
        <v/>
      </c>
      <c r="D244" s="61" t="str">
        <f t="shared" si="18"/>
        <v/>
      </c>
      <c r="E244" s="62"/>
      <c r="F244" s="63" t="str">
        <f t="shared" si="19"/>
        <v/>
      </c>
      <c r="G244" s="64"/>
      <c r="H244" s="64"/>
      <c r="I244" s="64"/>
      <c r="K244" t="str">
        <f t="shared" si="20"/>
        <v/>
      </c>
      <c r="L244" t="str">
        <f t="shared" si="21"/>
        <v/>
      </c>
    </row>
    <row r="245" spans="1:12">
      <c r="A245" s="59" t="str">
        <f>IF(E245="","",VLOOKUP('Opći dio'!$C$3,'Opći dio'!$L$6:$U$135,10,0))</f>
        <v/>
      </c>
      <c r="B245" s="59" t="str">
        <f>IF(E245="","",VLOOKUP('Opći dio'!$C$3,'Opći dio'!$L$6:$U$135,9,0))</f>
        <v/>
      </c>
      <c r="C245" s="60" t="str">
        <f t="shared" si="17"/>
        <v/>
      </c>
      <c r="D245" s="61" t="str">
        <f t="shared" si="18"/>
        <v/>
      </c>
      <c r="E245" s="62"/>
      <c r="F245" s="63" t="str">
        <f t="shared" si="19"/>
        <v/>
      </c>
      <c r="G245" s="64"/>
      <c r="H245" s="64"/>
      <c r="I245" s="64"/>
      <c r="K245" t="str">
        <f t="shared" si="20"/>
        <v/>
      </c>
      <c r="L245" t="str">
        <f t="shared" si="21"/>
        <v/>
      </c>
    </row>
    <row r="246" spans="1:12">
      <c r="A246" s="59" t="str">
        <f>IF(E246="","",VLOOKUP('Opći dio'!$C$3,'Opći dio'!$L$6:$U$135,10,0))</f>
        <v/>
      </c>
      <c r="B246" s="59" t="str">
        <f>IF(E246="","",VLOOKUP('Opći dio'!$C$3,'Opći dio'!$L$6:$U$135,9,0))</f>
        <v/>
      </c>
      <c r="C246" s="60" t="str">
        <f t="shared" si="17"/>
        <v/>
      </c>
      <c r="D246" s="61" t="str">
        <f t="shared" si="18"/>
        <v/>
      </c>
      <c r="E246" s="62"/>
      <c r="F246" s="63" t="str">
        <f t="shared" si="19"/>
        <v/>
      </c>
      <c r="G246" s="64"/>
      <c r="H246" s="64"/>
      <c r="I246" s="64"/>
      <c r="K246" t="str">
        <f t="shared" si="20"/>
        <v/>
      </c>
      <c r="L246" t="str">
        <f t="shared" si="21"/>
        <v/>
      </c>
    </row>
    <row r="247" spans="1:12">
      <c r="A247" s="59" t="str">
        <f>IF(E247="","",VLOOKUP('Opći dio'!$C$3,'Opći dio'!$L$6:$U$135,10,0))</f>
        <v/>
      </c>
      <c r="B247" s="59" t="str">
        <f>IF(E247="","",VLOOKUP('Opći dio'!$C$3,'Opći dio'!$L$6:$U$135,9,0))</f>
        <v/>
      </c>
      <c r="C247" s="60" t="str">
        <f t="shared" si="17"/>
        <v/>
      </c>
      <c r="D247" s="61" t="str">
        <f t="shared" si="18"/>
        <v/>
      </c>
      <c r="E247" s="62"/>
      <c r="F247" s="63" t="str">
        <f t="shared" si="19"/>
        <v/>
      </c>
      <c r="G247" s="64"/>
      <c r="H247" s="64"/>
      <c r="I247" s="64"/>
      <c r="K247" t="str">
        <f t="shared" si="20"/>
        <v/>
      </c>
      <c r="L247" t="str">
        <f t="shared" si="21"/>
        <v/>
      </c>
    </row>
    <row r="248" spans="1:12">
      <c r="A248" s="59" t="str">
        <f>IF(E248="","",VLOOKUP('Opći dio'!$C$3,'Opći dio'!$L$6:$U$135,10,0))</f>
        <v/>
      </c>
      <c r="B248" s="59" t="str">
        <f>IF(E248="","",VLOOKUP('Opći dio'!$C$3,'Opći dio'!$L$6:$U$135,9,0))</f>
        <v/>
      </c>
      <c r="C248" s="60" t="str">
        <f t="shared" si="17"/>
        <v/>
      </c>
      <c r="D248" s="61" t="str">
        <f t="shared" si="18"/>
        <v/>
      </c>
      <c r="E248" s="62"/>
      <c r="F248" s="63" t="str">
        <f t="shared" si="19"/>
        <v/>
      </c>
      <c r="G248" s="64"/>
      <c r="H248" s="64"/>
      <c r="I248" s="64"/>
      <c r="K248" t="str">
        <f t="shared" si="20"/>
        <v/>
      </c>
      <c r="L248" t="str">
        <f t="shared" si="21"/>
        <v/>
      </c>
    </row>
    <row r="249" spans="1:12">
      <c r="A249" s="59" t="str">
        <f>IF(E249="","",VLOOKUP('Opći dio'!$C$3,'Opći dio'!$L$6:$U$135,10,0))</f>
        <v/>
      </c>
      <c r="B249" s="59" t="str">
        <f>IF(E249="","",VLOOKUP('Opći dio'!$C$3,'Opći dio'!$L$6:$U$135,9,0))</f>
        <v/>
      </c>
      <c r="C249" s="60" t="str">
        <f t="shared" si="17"/>
        <v/>
      </c>
      <c r="D249" s="61" t="str">
        <f t="shared" si="18"/>
        <v/>
      </c>
      <c r="E249" s="62"/>
      <c r="F249" s="63" t="str">
        <f t="shared" si="19"/>
        <v/>
      </c>
      <c r="G249" s="64"/>
      <c r="H249" s="64"/>
      <c r="I249" s="64"/>
      <c r="K249" t="str">
        <f t="shared" si="20"/>
        <v/>
      </c>
      <c r="L249" t="str">
        <f t="shared" si="21"/>
        <v/>
      </c>
    </row>
    <row r="250" spans="1:12">
      <c r="A250" s="59" t="str">
        <f>IF(E250="","",VLOOKUP('Opći dio'!$C$3,'Opći dio'!$L$6:$U$135,10,0))</f>
        <v/>
      </c>
      <c r="B250" s="59" t="str">
        <f>IF(E250="","",VLOOKUP('Opći dio'!$C$3,'Opći dio'!$L$6:$U$135,9,0))</f>
        <v/>
      </c>
      <c r="C250" s="60" t="str">
        <f t="shared" si="17"/>
        <v/>
      </c>
      <c r="D250" s="61" t="str">
        <f t="shared" si="18"/>
        <v/>
      </c>
      <c r="E250" s="62"/>
      <c r="F250" s="63" t="str">
        <f t="shared" si="19"/>
        <v/>
      </c>
      <c r="G250" s="64"/>
      <c r="H250" s="64"/>
      <c r="I250" s="64"/>
      <c r="K250" t="str">
        <f t="shared" si="20"/>
        <v/>
      </c>
      <c r="L250" t="str">
        <f t="shared" si="21"/>
        <v/>
      </c>
    </row>
    <row r="251" spans="1:12">
      <c r="A251" s="59" t="str">
        <f>IF(E251="","",VLOOKUP('Opći dio'!$C$3,'Opći dio'!$L$6:$U$135,10,0))</f>
        <v/>
      </c>
      <c r="B251" s="59" t="str">
        <f>IF(E251="","",VLOOKUP('Opći dio'!$C$3,'Opći dio'!$L$6:$U$135,9,0))</f>
        <v/>
      </c>
      <c r="C251" s="60" t="str">
        <f t="shared" si="17"/>
        <v/>
      </c>
      <c r="D251" s="61" t="str">
        <f t="shared" si="18"/>
        <v/>
      </c>
      <c r="E251" s="62"/>
      <c r="F251" s="63" t="str">
        <f t="shared" si="19"/>
        <v/>
      </c>
      <c r="G251" s="64"/>
      <c r="H251" s="64"/>
      <c r="I251" s="64"/>
      <c r="K251" t="str">
        <f t="shared" si="20"/>
        <v/>
      </c>
      <c r="L251" t="str">
        <f t="shared" si="21"/>
        <v/>
      </c>
    </row>
    <row r="252" spans="1:12">
      <c r="A252" s="59" t="str">
        <f>IF(E252="","",VLOOKUP('Opći dio'!$C$3,'Opći dio'!$L$6:$U$135,10,0))</f>
        <v/>
      </c>
      <c r="B252" s="59" t="str">
        <f>IF(E252="","",VLOOKUP('Opći dio'!$C$3,'Opći dio'!$L$6:$U$135,9,0))</f>
        <v/>
      </c>
      <c r="C252" s="60" t="str">
        <f t="shared" si="17"/>
        <v/>
      </c>
      <c r="D252" s="61" t="str">
        <f t="shared" si="18"/>
        <v/>
      </c>
      <c r="E252" s="62"/>
      <c r="F252" s="63" t="str">
        <f t="shared" si="19"/>
        <v/>
      </c>
      <c r="G252" s="64"/>
      <c r="H252" s="64"/>
      <c r="I252" s="64"/>
      <c r="K252" t="str">
        <f t="shared" si="20"/>
        <v/>
      </c>
      <c r="L252" t="str">
        <f t="shared" si="21"/>
        <v/>
      </c>
    </row>
    <row r="253" spans="1:12">
      <c r="A253" s="59" t="str">
        <f>IF(E253="","",VLOOKUP('Opći dio'!$C$3,'Opći dio'!$L$6:$U$135,10,0))</f>
        <v/>
      </c>
      <c r="B253" s="59" t="str">
        <f>IF(E253="","",VLOOKUP('Opći dio'!$C$3,'Opći dio'!$L$6:$U$135,9,0))</f>
        <v/>
      </c>
      <c r="C253" s="60" t="str">
        <f t="shared" si="17"/>
        <v/>
      </c>
      <c r="D253" s="61" t="str">
        <f t="shared" si="18"/>
        <v/>
      </c>
      <c r="E253" s="62"/>
      <c r="F253" s="63" t="str">
        <f t="shared" si="19"/>
        <v/>
      </c>
      <c r="G253" s="64"/>
      <c r="H253" s="64"/>
      <c r="I253" s="64"/>
      <c r="K253" t="str">
        <f t="shared" si="20"/>
        <v/>
      </c>
      <c r="L253" t="str">
        <f t="shared" si="21"/>
        <v/>
      </c>
    </row>
    <row r="254" spans="1:12">
      <c r="A254" s="59" t="str">
        <f>IF(E254="","",VLOOKUP('Opći dio'!$C$3,'Opći dio'!$L$6:$U$135,10,0))</f>
        <v/>
      </c>
      <c r="B254" s="59" t="str">
        <f>IF(E254="","",VLOOKUP('Opći dio'!$C$3,'Opći dio'!$L$6:$U$135,9,0))</f>
        <v/>
      </c>
      <c r="C254" s="60" t="str">
        <f t="shared" si="17"/>
        <v/>
      </c>
      <c r="D254" s="61" t="str">
        <f t="shared" si="18"/>
        <v/>
      </c>
      <c r="E254" s="62"/>
      <c r="F254" s="63" t="str">
        <f t="shared" si="19"/>
        <v/>
      </c>
      <c r="G254" s="64"/>
      <c r="H254" s="64"/>
      <c r="I254" s="64"/>
      <c r="K254" t="str">
        <f t="shared" si="20"/>
        <v/>
      </c>
      <c r="L254" t="str">
        <f t="shared" si="21"/>
        <v/>
      </c>
    </row>
    <row r="255" spans="1:12">
      <c r="A255" s="59" t="str">
        <f>IF(E255="","",VLOOKUP('Opći dio'!$C$3,'Opći dio'!$L$6:$U$135,10,0))</f>
        <v/>
      </c>
      <c r="B255" s="59" t="str">
        <f>IF(E255="","",VLOOKUP('Opći dio'!$C$3,'Opći dio'!$L$6:$U$135,9,0))</f>
        <v/>
      </c>
      <c r="C255" s="60" t="str">
        <f t="shared" si="17"/>
        <v/>
      </c>
      <c r="D255" s="61" t="str">
        <f t="shared" si="18"/>
        <v/>
      </c>
      <c r="E255" s="62"/>
      <c r="F255" s="63" t="str">
        <f t="shared" si="19"/>
        <v/>
      </c>
      <c r="G255" s="64"/>
      <c r="H255" s="64"/>
      <c r="I255" s="64"/>
      <c r="K255" t="str">
        <f t="shared" si="20"/>
        <v/>
      </c>
      <c r="L255" t="str">
        <f t="shared" si="21"/>
        <v/>
      </c>
    </row>
    <row r="256" spans="1:12">
      <c r="A256" s="59" t="str">
        <f>IF(E256="","",VLOOKUP('Opći dio'!$C$3,'Opći dio'!$L$6:$U$135,10,0))</f>
        <v/>
      </c>
      <c r="B256" s="59" t="str">
        <f>IF(E256="","",VLOOKUP('Opći dio'!$C$3,'Opći dio'!$L$6:$U$135,9,0))</f>
        <v/>
      </c>
      <c r="C256" s="60" t="str">
        <f t="shared" si="17"/>
        <v/>
      </c>
      <c r="D256" s="61" t="str">
        <f t="shared" si="18"/>
        <v/>
      </c>
      <c r="E256" s="62"/>
      <c r="F256" s="63" t="str">
        <f t="shared" si="19"/>
        <v/>
      </c>
      <c r="G256" s="64"/>
      <c r="H256" s="64"/>
      <c r="I256" s="64"/>
      <c r="K256" t="str">
        <f t="shared" si="20"/>
        <v/>
      </c>
      <c r="L256" t="str">
        <f t="shared" si="21"/>
        <v/>
      </c>
    </row>
    <row r="257" spans="1:12">
      <c r="A257" s="59" t="str">
        <f>IF(E257="","",VLOOKUP('Opći dio'!$C$3,'Opći dio'!$L$6:$U$135,10,0))</f>
        <v/>
      </c>
      <c r="B257" s="59" t="str">
        <f>IF(E257="","",VLOOKUP('Opći dio'!$C$3,'Opći dio'!$L$6:$U$135,9,0))</f>
        <v/>
      </c>
      <c r="C257" s="60" t="str">
        <f t="shared" si="17"/>
        <v/>
      </c>
      <c r="D257" s="61" t="str">
        <f t="shared" si="18"/>
        <v/>
      </c>
      <c r="E257" s="62"/>
      <c r="F257" s="63" t="str">
        <f t="shared" si="19"/>
        <v/>
      </c>
      <c r="G257" s="64"/>
      <c r="H257" s="64"/>
      <c r="I257" s="64"/>
      <c r="K257" t="str">
        <f t="shared" si="20"/>
        <v/>
      </c>
      <c r="L257" t="str">
        <f t="shared" si="21"/>
        <v/>
      </c>
    </row>
    <row r="258" spans="1:12">
      <c r="A258" s="59" t="str">
        <f>IF(E258="","",VLOOKUP('Opći dio'!$C$3,'Opći dio'!$L$6:$U$135,10,0))</f>
        <v/>
      </c>
      <c r="B258" s="59" t="str">
        <f>IF(E258="","",VLOOKUP('Opći dio'!$C$3,'Opći dio'!$L$6:$U$135,9,0))</f>
        <v/>
      </c>
      <c r="C258" s="60" t="str">
        <f t="shared" si="17"/>
        <v/>
      </c>
      <c r="D258" s="61" t="str">
        <f t="shared" si="18"/>
        <v/>
      </c>
      <c r="E258" s="62"/>
      <c r="F258" s="63" t="str">
        <f t="shared" si="19"/>
        <v/>
      </c>
      <c r="G258" s="64"/>
      <c r="H258" s="64"/>
      <c r="I258" s="64"/>
      <c r="K258" t="str">
        <f t="shared" si="20"/>
        <v/>
      </c>
      <c r="L258" t="str">
        <f t="shared" si="21"/>
        <v/>
      </c>
    </row>
    <row r="259" spans="1:12">
      <c r="A259" s="59" t="str">
        <f>IF(E259="","",VLOOKUP('Opći dio'!$C$3,'Opći dio'!$L$6:$U$135,10,0))</f>
        <v/>
      </c>
      <c r="B259" s="59" t="str">
        <f>IF(E259="","",VLOOKUP('Opći dio'!$C$3,'Opći dio'!$L$6:$U$135,9,0))</f>
        <v/>
      </c>
      <c r="C259" s="60" t="str">
        <f t="shared" ref="C259:C322" si="22">IFERROR(VLOOKUP(E259,$R$6:$U$73,3,0),"")</f>
        <v/>
      </c>
      <c r="D259" s="61" t="str">
        <f t="shared" ref="D259:D322" si="23">IFERROR(VLOOKUP(E259,$R$6:$U$73,4,0),"")</f>
        <v/>
      </c>
      <c r="E259" s="62"/>
      <c r="F259" s="63" t="str">
        <f t="shared" ref="F259:F322" si="24">IFERROR(VLOOKUP(E259,$R$6:$U$73,2,0),"")</f>
        <v/>
      </c>
      <c r="G259" s="64"/>
      <c r="H259" s="64"/>
      <c r="I259" s="64"/>
      <c r="K259" t="str">
        <f t="shared" ref="K259:K322" si="25">LEFT(E259,3)</f>
        <v/>
      </c>
      <c r="L259" t="str">
        <f t="shared" ref="L259:L322" si="26">LEFT(E259,2)</f>
        <v/>
      </c>
    </row>
    <row r="260" spans="1:12">
      <c r="A260" s="59" t="str">
        <f>IF(E260="","",VLOOKUP('Opći dio'!$C$3,'Opći dio'!$L$6:$U$135,10,0))</f>
        <v/>
      </c>
      <c r="B260" s="59" t="str">
        <f>IF(E260="","",VLOOKUP('Opći dio'!$C$3,'Opći dio'!$L$6:$U$135,9,0))</f>
        <v/>
      </c>
      <c r="C260" s="60" t="str">
        <f t="shared" si="22"/>
        <v/>
      </c>
      <c r="D260" s="61" t="str">
        <f t="shared" si="23"/>
        <v/>
      </c>
      <c r="E260" s="62"/>
      <c r="F260" s="63" t="str">
        <f t="shared" si="24"/>
        <v/>
      </c>
      <c r="G260" s="64"/>
      <c r="H260" s="64"/>
      <c r="I260" s="64"/>
      <c r="K260" t="str">
        <f t="shared" si="25"/>
        <v/>
      </c>
      <c r="L260" t="str">
        <f t="shared" si="26"/>
        <v/>
      </c>
    </row>
    <row r="261" spans="1:12">
      <c r="A261" s="59" t="str">
        <f>IF(E261="","",VLOOKUP('Opći dio'!$C$3,'Opći dio'!$L$6:$U$135,10,0))</f>
        <v/>
      </c>
      <c r="B261" s="59" t="str">
        <f>IF(E261="","",VLOOKUP('Opći dio'!$C$3,'Opći dio'!$L$6:$U$135,9,0))</f>
        <v/>
      </c>
      <c r="C261" s="60" t="str">
        <f t="shared" si="22"/>
        <v/>
      </c>
      <c r="D261" s="61" t="str">
        <f t="shared" si="23"/>
        <v/>
      </c>
      <c r="E261" s="62"/>
      <c r="F261" s="63" t="str">
        <f t="shared" si="24"/>
        <v/>
      </c>
      <c r="G261" s="64"/>
      <c r="H261" s="64"/>
      <c r="I261" s="64"/>
      <c r="K261" t="str">
        <f t="shared" si="25"/>
        <v/>
      </c>
      <c r="L261" t="str">
        <f t="shared" si="26"/>
        <v/>
      </c>
    </row>
    <row r="262" spans="1:12">
      <c r="A262" s="59" t="str">
        <f>IF(E262="","",VLOOKUP('Opći dio'!$C$3,'Opći dio'!$L$6:$U$135,10,0))</f>
        <v/>
      </c>
      <c r="B262" s="59" t="str">
        <f>IF(E262="","",VLOOKUP('Opći dio'!$C$3,'Opći dio'!$L$6:$U$135,9,0))</f>
        <v/>
      </c>
      <c r="C262" s="60" t="str">
        <f t="shared" si="22"/>
        <v/>
      </c>
      <c r="D262" s="61" t="str">
        <f t="shared" si="23"/>
        <v/>
      </c>
      <c r="E262" s="62"/>
      <c r="F262" s="63" t="str">
        <f t="shared" si="24"/>
        <v/>
      </c>
      <c r="G262" s="64"/>
      <c r="H262" s="64"/>
      <c r="I262" s="64"/>
      <c r="K262" t="str">
        <f t="shared" si="25"/>
        <v/>
      </c>
      <c r="L262" t="str">
        <f t="shared" si="26"/>
        <v/>
      </c>
    </row>
    <row r="263" spans="1:12">
      <c r="A263" s="59" t="str">
        <f>IF(E263="","",VLOOKUP('Opći dio'!$C$3,'Opći dio'!$L$6:$U$135,10,0))</f>
        <v/>
      </c>
      <c r="B263" s="59" t="str">
        <f>IF(E263="","",VLOOKUP('Opći dio'!$C$3,'Opći dio'!$L$6:$U$135,9,0))</f>
        <v/>
      </c>
      <c r="C263" s="60" t="str">
        <f t="shared" si="22"/>
        <v/>
      </c>
      <c r="D263" s="61" t="str">
        <f t="shared" si="23"/>
        <v/>
      </c>
      <c r="E263" s="62"/>
      <c r="F263" s="63" t="str">
        <f t="shared" si="24"/>
        <v/>
      </c>
      <c r="G263" s="64"/>
      <c r="H263" s="64"/>
      <c r="I263" s="64"/>
      <c r="K263" t="str">
        <f t="shared" si="25"/>
        <v/>
      </c>
      <c r="L263" t="str">
        <f t="shared" si="26"/>
        <v/>
      </c>
    </row>
    <row r="264" spans="1:12">
      <c r="A264" s="59" t="str">
        <f>IF(E264="","",VLOOKUP('Opći dio'!$C$3,'Opći dio'!$L$6:$U$135,10,0))</f>
        <v/>
      </c>
      <c r="B264" s="59" t="str">
        <f>IF(E264="","",VLOOKUP('Opći dio'!$C$3,'Opći dio'!$L$6:$U$135,9,0))</f>
        <v/>
      </c>
      <c r="C264" s="60" t="str">
        <f t="shared" si="22"/>
        <v/>
      </c>
      <c r="D264" s="61" t="str">
        <f t="shared" si="23"/>
        <v/>
      </c>
      <c r="E264" s="62"/>
      <c r="F264" s="63" t="str">
        <f t="shared" si="24"/>
        <v/>
      </c>
      <c r="G264" s="64"/>
      <c r="H264" s="64"/>
      <c r="I264" s="64"/>
      <c r="K264" t="str">
        <f t="shared" si="25"/>
        <v/>
      </c>
      <c r="L264" t="str">
        <f t="shared" si="26"/>
        <v/>
      </c>
    </row>
    <row r="265" spans="1:12">
      <c r="A265" s="59" t="str">
        <f>IF(E265="","",VLOOKUP('Opći dio'!$C$3,'Opći dio'!$L$6:$U$135,10,0))</f>
        <v/>
      </c>
      <c r="B265" s="59" t="str">
        <f>IF(E265="","",VLOOKUP('Opći dio'!$C$3,'Opći dio'!$L$6:$U$135,9,0))</f>
        <v/>
      </c>
      <c r="C265" s="60" t="str">
        <f t="shared" si="22"/>
        <v/>
      </c>
      <c r="D265" s="61" t="str">
        <f t="shared" si="23"/>
        <v/>
      </c>
      <c r="E265" s="62"/>
      <c r="F265" s="63" t="str">
        <f t="shared" si="24"/>
        <v/>
      </c>
      <c r="G265" s="64"/>
      <c r="H265" s="64"/>
      <c r="I265" s="64"/>
      <c r="K265" t="str">
        <f t="shared" si="25"/>
        <v/>
      </c>
      <c r="L265" t="str">
        <f t="shared" si="26"/>
        <v/>
      </c>
    </row>
    <row r="266" spans="1:12">
      <c r="A266" s="59" t="str">
        <f>IF(E266="","",VLOOKUP('Opći dio'!$C$3,'Opći dio'!$L$6:$U$135,10,0))</f>
        <v/>
      </c>
      <c r="B266" s="59" t="str">
        <f>IF(E266="","",VLOOKUP('Opći dio'!$C$3,'Opći dio'!$L$6:$U$135,9,0))</f>
        <v/>
      </c>
      <c r="C266" s="60" t="str">
        <f t="shared" si="22"/>
        <v/>
      </c>
      <c r="D266" s="61" t="str">
        <f t="shared" si="23"/>
        <v/>
      </c>
      <c r="E266" s="62"/>
      <c r="F266" s="63" t="str">
        <f t="shared" si="24"/>
        <v/>
      </c>
      <c r="G266" s="64"/>
      <c r="H266" s="64"/>
      <c r="I266" s="64"/>
      <c r="K266" t="str">
        <f t="shared" si="25"/>
        <v/>
      </c>
      <c r="L266" t="str">
        <f t="shared" si="26"/>
        <v/>
      </c>
    </row>
    <row r="267" spans="1:12">
      <c r="A267" s="59" t="str">
        <f>IF(E267="","",VLOOKUP('Opći dio'!$C$3,'Opći dio'!$L$6:$U$135,10,0))</f>
        <v/>
      </c>
      <c r="B267" s="59" t="str">
        <f>IF(E267="","",VLOOKUP('Opći dio'!$C$3,'Opći dio'!$L$6:$U$135,9,0))</f>
        <v/>
      </c>
      <c r="C267" s="60" t="str">
        <f t="shared" si="22"/>
        <v/>
      </c>
      <c r="D267" s="61" t="str">
        <f t="shared" si="23"/>
        <v/>
      </c>
      <c r="E267" s="62"/>
      <c r="F267" s="63" t="str">
        <f t="shared" si="24"/>
        <v/>
      </c>
      <c r="G267" s="64"/>
      <c r="H267" s="64"/>
      <c r="I267" s="64"/>
      <c r="K267" t="str">
        <f t="shared" si="25"/>
        <v/>
      </c>
      <c r="L267" t="str">
        <f t="shared" si="26"/>
        <v/>
      </c>
    </row>
    <row r="268" spans="1:12">
      <c r="A268" s="59" t="str">
        <f>IF(E268="","",VLOOKUP('Opći dio'!$C$3,'Opći dio'!$L$6:$U$135,10,0))</f>
        <v/>
      </c>
      <c r="B268" s="59" t="str">
        <f>IF(E268="","",VLOOKUP('Opći dio'!$C$3,'Opći dio'!$L$6:$U$135,9,0))</f>
        <v/>
      </c>
      <c r="C268" s="60" t="str">
        <f t="shared" si="22"/>
        <v/>
      </c>
      <c r="D268" s="61" t="str">
        <f t="shared" si="23"/>
        <v/>
      </c>
      <c r="E268" s="62"/>
      <c r="F268" s="63" t="str">
        <f t="shared" si="24"/>
        <v/>
      </c>
      <c r="G268" s="64"/>
      <c r="H268" s="64"/>
      <c r="I268" s="64"/>
      <c r="K268" t="str">
        <f t="shared" si="25"/>
        <v/>
      </c>
      <c r="L268" t="str">
        <f t="shared" si="26"/>
        <v/>
      </c>
    </row>
    <row r="269" spans="1:12">
      <c r="A269" s="59" t="str">
        <f>IF(E269="","",VLOOKUP('Opći dio'!$C$3,'Opći dio'!$L$6:$U$135,10,0))</f>
        <v/>
      </c>
      <c r="B269" s="59" t="str">
        <f>IF(E269="","",VLOOKUP('Opći dio'!$C$3,'Opći dio'!$L$6:$U$135,9,0))</f>
        <v/>
      </c>
      <c r="C269" s="60" t="str">
        <f t="shared" si="22"/>
        <v/>
      </c>
      <c r="D269" s="61" t="str">
        <f t="shared" si="23"/>
        <v/>
      </c>
      <c r="E269" s="62"/>
      <c r="F269" s="63" t="str">
        <f t="shared" si="24"/>
        <v/>
      </c>
      <c r="G269" s="64"/>
      <c r="H269" s="64"/>
      <c r="I269" s="64"/>
      <c r="K269" t="str">
        <f t="shared" si="25"/>
        <v/>
      </c>
      <c r="L269" t="str">
        <f t="shared" si="26"/>
        <v/>
      </c>
    </row>
    <row r="270" spans="1:12">
      <c r="A270" s="59" t="str">
        <f>IF(E270="","",VLOOKUP('Opći dio'!$C$3,'Opći dio'!$L$6:$U$135,10,0))</f>
        <v/>
      </c>
      <c r="B270" s="59" t="str">
        <f>IF(E270="","",VLOOKUP('Opći dio'!$C$3,'Opći dio'!$L$6:$U$135,9,0))</f>
        <v/>
      </c>
      <c r="C270" s="60" t="str">
        <f t="shared" si="22"/>
        <v/>
      </c>
      <c r="D270" s="61" t="str">
        <f t="shared" si="23"/>
        <v/>
      </c>
      <c r="E270" s="62"/>
      <c r="F270" s="63" t="str">
        <f t="shared" si="24"/>
        <v/>
      </c>
      <c r="G270" s="64"/>
      <c r="H270" s="64"/>
      <c r="I270" s="64"/>
      <c r="K270" t="str">
        <f t="shared" si="25"/>
        <v/>
      </c>
      <c r="L270" t="str">
        <f t="shared" si="26"/>
        <v/>
      </c>
    </row>
    <row r="271" spans="1:12">
      <c r="A271" s="59" t="str">
        <f>IF(E271="","",VLOOKUP('Opći dio'!$C$3,'Opći dio'!$L$6:$U$135,10,0))</f>
        <v/>
      </c>
      <c r="B271" s="59" t="str">
        <f>IF(E271="","",VLOOKUP('Opći dio'!$C$3,'Opći dio'!$L$6:$U$135,9,0))</f>
        <v/>
      </c>
      <c r="C271" s="60" t="str">
        <f t="shared" si="22"/>
        <v/>
      </c>
      <c r="D271" s="61" t="str">
        <f t="shared" si="23"/>
        <v/>
      </c>
      <c r="E271" s="62"/>
      <c r="F271" s="63" t="str">
        <f t="shared" si="24"/>
        <v/>
      </c>
      <c r="G271" s="64"/>
      <c r="H271" s="64"/>
      <c r="I271" s="64"/>
      <c r="K271" t="str">
        <f t="shared" si="25"/>
        <v/>
      </c>
      <c r="L271" t="str">
        <f t="shared" si="26"/>
        <v/>
      </c>
    </row>
    <row r="272" spans="1:12">
      <c r="A272" s="59" t="str">
        <f>IF(E272="","",VLOOKUP('Opći dio'!$C$3,'Opći dio'!$L$6:$U$135,10,0))</f>
        <v/>
      </c>
      <c r="B272" s="59" t="str">
        <f>IF(E272="","",VLOOKUP('Opći dio'!$C$3,'Opći dio'!$L$6:$U$135,9,0))</f>
        <v/>
      </c>
      <c r="C272" s="60" t="str">
        <f t="shared" si="22"/>
        <v/>
      </c>
      <c r="D272" s="61" t="str">
        <f t="shared" si="23"/>
        <v/>
      </c>
      <c r="E272" s="62"/>
      <c r="F272" s="63" t="str">
        <f t="shared" si="24"/>
        <v/>
      </c>
      <c r="G272" s="64"/>
      <c r="H272" s="64"/>
      <c r="I272" s="64"/>
      <c r="K272" t="str">
        <f t="shared" si="25"/>
        <v/>
      </c>
      <c r="L272" t="str">
        <f t="shared" si="26"/>
        <v/>
      </c>
    </row>
    <row r="273" spans="1:12">
      <c r="A273" s="59" t="str">
        <f>IF(E273="","",VLOOKUP('Opći dio'!$C$3,'Opći dio'!$L$6:$U$135,10,0))</f>
        <v/>
      </c>
      <c r="B273" s="59" t="str">
        <f>IF(E273="","",VLOOKUP('Opći dio'!$C$3,'Opći dio'!$L$6:$U$135,9,0))</f>
        <v/>
      </c>
      <c r="C273" s="60" t="str">
        <f t="shared" si="22"/>
        <v/>
      </c>
      <c r="D273" s="61" t="str">
        <f t="shared" si="23"/>
        <v/>
      </c>
      <c r="E273" s="62"/>
      <c r="F273" s="63" t="str">
        <f t="shared" si="24"/>
        <v/>
      </c>
      <c r="G273" s="64"/>
      <c r="H273" s="64"/>
      <c r="I273" s="64"/>
      <c r="K273" t="str">
        <f t="shared" si="25"/>
        <v/>
      </c>
      <c r="L273" t="str">
        <f t="shared" si="26"/>
        <v/>
      </c>
    </row>
    <row r="274" spans="1:12">
      <c r="A274" s="59" t="str">
        <f>IF(E274="","",VLOOKUP('Opći dio'!$C$3,'Opći dio'!$L$6:$U$135,10,0))</f>
        <v/>
      </c>
      <c r="B274" s="59" t="str">
        <f>IF(E274="","",VLOOKUP('Opći dio'!$C$3,'Opći dio'!$L$6:$U$135,9,0))</f>
        <v/>
      </c>
      <c r="C274" s="60" t="str">
        <f t="shared" si="22"/>
        <v/>
      </c>
      <c r="D274" s="61" t="str">
        <f t="shared" si="23"/>
        <v/>
      </c>
      <c r="E274" s="62"/>
      <c r="F274" s="63" t="str">
        <f t="shared" si="24"/>
        <v/>
      </c>
      <c r="G274" s="64"/>
      <c r="H274" s="64"/>
      <c r="I274" s="64"/>
      <c r="K274" t="str">
        <f t="shared" si="25"/>
        <v/>
      </c>
      <c r="L274" t="str">
        <f t="shared" si="26"/>
        <v/>
      </c>
    </row>
    <row r="275" spans="1:12">
      <c r="A275" s="59" t="str">
        <f>IF(E275="","",VLOOKUP('Opći dio'!$C$3,'Opći dio'!$L$6:$U$135,10,0))</f>
        <v/>
      </c>
      <c r="B275" s="59" t="str">
        <f>IF(E275="","",VLOOKUP('Opći dio'!$C$3,'Opći dio'!$L$6:$U$135,9,0))</f>
        <v/>
      </c>
      <c r="C275" s="60" t="str">
        <f t="shared" si="22"/>
        <v/>
      </c>
      <c r="D275" s="61" t="str">
        <f t="shared" si="23"/>
        <v/>
      </c>
      <c r="E275" s="62"/>
      <c r="F275" s="63" t="str">
        <f t="shared" si="24"/>
        <v/>
      </c>
      <c r="G275" s="64"/>
      <c r="H275" s="64"/>
      <c r="I275" s="64"/>
      <c r="K275" t="str">
        <f t="shared" si="25"/>
        <v/>
      </c>
      <c r="L275" t="str">
        <f t="shared" si="26"/>
        <v/>
      </c>
    </row>
    <row r="276" spans="1:12">
      <c r="A276" s="59" t="str">
        <f>IF(E276="","",VLOOKUP('Opći dio'!$C$3,'Opći dio'!$L$6:$U$135,10,0))</f>
        <v/>
      </c>
      <c r="B276" s="59" t="str">
        <f>IF(E276="","",VLOOKUP('Opći dio'!$C$3,'Opći dio'!$L$6:$U$135,9,0))</f>
        <v/>
      </c>
      <c r="C276" s="60" t="str">
        <f t="shared" si="22"/>
        <v/>
      </c>
      <c r="D276" s="61" t="str">
        <f t="shared" si="23"/>
        <v/>
      </c>
      <c r="E276" s="62"/>
      <c r="F276" s="63" t="str">
        <f t="shared" si="24"/>
        <v/>
      </c>
      <c r="G276" s="64"/>
      <c r="H276" s="64"/>
      <c r="I276" s="64"/>
      <c r="K276" t="str">
        <f t="shared" si="25"/>
        <v/>
      </c>
      <c r="L276" t="str">
        <f t="shared" si="26"/>
        <v/>
      </c>
    </row>
    <row r="277" spans="1:12">
      <c r="A277" s="59" t="str">
        <f>IF(E277="","",VLOOKUP('Opći dio'!$C$3,'Opći dio'!$L$6:$U$135,10,0))</f>
        <v/>
      </c>
      <c r="B277" s="59" t="str">
        <f>IF(E277="","",VLOOKUP('Opći dio'!$C$3,'Opći dio'!$L$6:$U$135,9,0))</f>
        <v/>
      </c>
      <c r="C277" s="60" t="str">
        <f t="shared" si="22"/>
        <v/>
      </c>
      <c r="D277" s="61" t="str">
        <f t="shared" si="23"/>
        <v/>
      </c>
      <c r="E277" s="62"/>
      <c r="F277" s="63" t="str">
        <f t="shared" si="24"/>
        <v/>
      </c>
      <c r="G277" s="64"/>
      <c r="H277" s="64"/>
      <c r="I277" s="64"/>
      <c r="K277" t="str">
        <f t="shared" si="25"/>
        <v/>
      </c>
      <c r="L277" t="str">
        <f t="shared" si="26"/>
        <v/>
      </c>
    </row>
    <row r="278" spans="1:12">
      <c r="A278" s="59" t="str">
        <f>IF(E278="","",VLOOKUP('Opći dio'!$C$3,'Opći dio'!$L$6:$U$135,10,0))</f>
        <v/>
      </c>
      <c r="B278" s="59" t="str">
        <f>IF(E278="","",VLOOKUP('Opći dio'!$C$3,'Opći dio'!$L$6:$U$135,9,0))</f>
        <v/>
      </c>
      <c r="C278" s="60" t="str">
        <f t="shared" si="22"/>
        <v/>
      </c>
      <c r="D278" s="61" t="str">
        <f t="shared" si="23"/>
        <v/>
      </c>
      <c r="E278" s="62"/>
      <c r="F278" s="63" t="str">
        <f t="shared" si="24"/>
        <v/>
      </c>
      <c r="G278" s="64"/>
      <c r="H278" s="64"/>
      <c r="I278" s="64"/>
      <c r="K278" t="str">
        <f t="shared" si="25"/>
        <v/>
      </c>
      <c r="L278" t="str">
        <f t="shared" si="26"/>
        <v/>
      </c>
    </row>
    <row r="279" spans="1:12">
      <c r="A279" s="59" t="str">
        <f>IF(E279="","",VLOOKUP('Opći dio'!$C$3,'Opći dio'!$L$6:$U$135,10,0))</f>
        <v/>
      </c>
      <c r="B279" s="59" t="str">
        <f>IF(E279="","",VLOOKUP('Opći dio'!$C$3,'Opći dio'!$L$6:$U$135,9,0))</f>
        <v/>
      </c>
      <c r="C279" s="60" t="str">
        <f t="shared" si="22"/>
        <v/>
      </c>
      <c r="D279" s="61" t="str">
        <f t="shared" si="23"/>
        <v/>
      </c>
      <c r="E279" s="62"/>
      <c r="F279" s="63" t="str">
        <f t="shared" si="24"/>
        <v/>
      </c>
      <c r="G279" s="64"/>
      <c r="H279" s="64"/>
      <c r="I279" s="64"/>
      <c r="K279" t="str">
        <f t="shared" si="25"/>
        <v/>
      </c>
      <c r="L279" t="str">
        <f t="shared" si="26"/>
        <v/>
      </c>
    </row>
    <row r="280" spans="1:12">
      <c r="A280" s="59" t="str">
        <f>IF(E280="","",VLOOKUP('Opći dio'!$C$3,'Opći dio'!$L$6:$U$135,10,0))</f>
        <v/>
      </c>
      <c r="B280" s="59" t="str">
        <f>IF(E280="","",VLOOKUP('Opći dio'!$C$3,'Opći dio'!$L$6:$U$135,9,0))</f>
        <v/>
      </c>
      <c r="C280" s="60" t="str">
        <f t="shared" si="22"/>
        <v/>
      </c>
      <c r="D280" s="61" t="str">
        <f t="shared" si="23"/>
        <v/>
      </c>
      <c r="E280" s="62"/>
      <c r="F280" s="63" t="str">
        <f t="shared" si="24"/>
        <v/>
      </c>
      <c r="G280" s="64"/>
      <c r="H280" s="64"/>
      <c r="I280" s="64"/>
      <c r="K280" t="str">
        <f t="shared" si="25"/>
        <v/>
      </c>
      <c r="L280" t="str">
        <f t="shared" si="26"/>
        <v/>
      </c>
    </row>
    <row r="281" spans="1:12">
      <c r="A281" s="59" t="str">
        <f>IF(E281="","",VLOOKUP('Opći dio'!$C$3,'Opći dio'!$L$6:$U$135,10,0))</f>
        <v/>
      </c>
      <c r="B281" s="59" t="str">
        <f>IF(E281="","",VLOOKUP('Opći dio'!$C$3,'Opći dio'!$L$6:$U$135,9,0))</f>
        <v/>
      </c>
      <c r="C281" s="60" t="str">
        <f t="shared" si="22"/>
        <v/>
      </c>
      <c r="D281" s="61" t="str">
        <f t="shared" si="23"/>
        <v/>
      </c>
      <c r="E281" s="62"/>
      <c r="F281" s="63" t="str">
        <f t="shared" si="24"/>
        <v/>
      </c>
      <c r="G281" s="64"/>
      <c r="H281" s="64"/>
      <c r="I281" s="64"/>
      <c r="K281" t="str">
        <f t="shared" si="25"/>
        <v/>
      </c>
      <c r="L281" t="str">
        <f t="shared" si="26"/>
        <v/>
      </c>
    </row>
    <row r="282" spans="1:12">
      <c r="A282" s="59" t="str">
        <f>IF(E282="","",VLOOKUP('Opći dio'!$C$3,'Opći dio'!$L$6:$U$135,10,0))</f>
        <v/>
      </c>
      <c r="B282" s="59" t="str">
        <f>IF(E282="","",VLOOKUP('Opći dio'!$C$3,'Opći dio'!$L$6:$U$135,9,0))</f>
        <v/>
      </c>
      <c r="C282" s="60" t="str">
        <f t="shared" si="22"/>
        <v/>
      </c>
      <c r="D282" s="61" t="str">
        <f t="shared" si="23"/>
        <v/>
      </c>
      <c r="E282" s="62"/>
      <c r="F282" s="63" t="str">
        <f t="shared" si="24"/>
        <v/>
      </c>
      <c r="G282" s="64"/>
      <c r="H282" s="64"/>
      <c r="I282" s="64"/>
      <c r="K282" t="str">
        <f t="shared" si="25"/>
        <v/>
      </c>
      <c r="L282" t="str">
        <f t="shared" si="26"/>
        <v/>
      </c>
    </row>
    <row r="283" spans="1:12">
      <c r="A283" s="59" t="str">
        <f>IF(E283="","",VLOOKUP('Opći dio'!$C$3,'Opći dio'!$L$6:$U$135,10,0))</f>
        <v/>
      </c>
      <c r="B283" s="59" t="str">
        <f>IF(E283="","",VLOOKUP('Opći dio'!$C$3,'Opći dio'!$L$6:$U$135,9,0))</f>
        <v/>
      </c>
      <c r="C283" s="60" t="str">
        <f t="shared" si="22"/>
        <v/>
      </c>
      <c r="D283" s="61" t="str">
        <f t="shared" si="23"/>
        <v/>
      </c>
      <c r="E283" s="62"/>
      <c r="F283" s="63" t="str">
        <f t="shared" si="24"/>
        <v/>
      </c>
      <c r="G283" s="64"/>
      <c r="H283" s="64"/>
      <c r="I283" s="64"/>
      <c r="K283" t="str">
        <f t="shared" si="25"/>
        <v/>
      </c>
      <c r="L283" t="str">
        <f t="shared" si="26"/>
        <v/>
      </c>
    </row>
    <row r="284" spans="1:12">
      <c r="A284" s="59" t="str">
        <f>IF(E284="","",VLOOKUP('Opći dio'!$C$3,'Opći dio'!$L$6:$U$135,10,0))</f>
        <v/>
      </c>
      <c r="B284" s="59" t="str">
        <f>IF(E284="","",VLOOKUP('Opći dio'!$C$3,'Opći dio'!$L$6:$U$135,9,0))</f>
        <v/>
      </c>
      <c r="C284" s="60" t="str">
        <f t="shared" si="22"/>
        <v/>
      </c>
      <c r="D284" s="61" t="str">
        <f t="shared" si="23"/>
        <v/>
      </c>
      <c r="E284" s="62"/>
      <c r="F284" s="63" t="str">
        <f t="shared" si="24"/>
        <v/>
      </c>
      <c r="G284" s="64"/>
      <c r="H284" s="64"/>
      <c r="I284" s="64"/>
      <c r="K284" t="str">
        <f t="shared" si="25"/>
        <v/>
      </c>
      <c r="L284" t="str">
        <f t="shared" si="26"/>
        <v/>
      </c>
    </row>
    <row r="285" spans="1:12">
      <c r="A285" s="59" t="str">
        <f>IF(E285="","",VLOOKUP('Opći dio'!$C$3,'Opći dio'!$L$6:$U$135,10,0))</f>
        <v/>
      </c>
      <c r="B285" s="59" t="str">
        <f>IF(E285="","",VLOOKUP('Opći dio'!$C$3,'Opći dio'!$L$6:$U$135,9,0))</f>
        <v/>
      </c>
      <c r="C285" s="60" t="str">
        <f t="shared" si="22"/>
        <v/>
      </c>
      <c r="D285" s="61" t="str">
        <f t="shared" si="23"/>
        <v/>
      </c>
      <c r="E285" s="62"/>
      <c r="F285" s="63" t="str">
        <f t="shared" si="24"/>
        <v/>
      </c>
      <c r="G285" s="64"/>
      <c r="H285" s="64"/>
      <c r="I285" s="64"/>
      <c r="K285" t="str">
        <f t="shared" si="25"/>
        <v/>
      </c>
      <c r="L285" t="str">
        <f t="shared" si="26"/>
        <v/>
      </c>
    </row>
    <row r="286" spans="1:12">
      <c r="A286" s="59" t="str">
        <f>IF(E286="","",VLOOKUP('Opći dio'!$C$3,'Opći dio'!$L$6:$U$135,10,0))</f>
        <v/>
      </c>
      <c r="B286" s="59" t="str">
        <f>IF(E286="","",VLOOKUP('Opći dio'!$C$3,'Opći dio'!$L$6:$U$135,9,0))</f>
        <v/>
      </c>
      <c r="C286" s="60" t="str">
        <f t="shared" si="22"/>
        <v/>
      </c>
      <c r="D286" s="61" t="str">
        <f t="shared" si="23"/>
        <v/>
      </c>
      <c r="E286" s="62"/>
      <c r="F286" s="63" t="str">
        <f t="shared" si="24"/>
        <v/>
      </c>
      <c r="G286" s="64"/>
      <c r="H286" s="64"/>
      <c r="I286" s="64"/>
      <c r="K286" t="str">
        <f t="shared" si="25"/>
        <v/>
      </c>
      <c r="L286" t="str">
        <f t="shared" si="26"/>
        <v/>
      </c>
    </row>
    <row r="287" spans="1:12">
      <c r="A287" s="59" t="str">
        <f>IF(E287="","",VLOOKUP('Opći dio'!$C$3,'Opći dio'!$L$6:$U$135,10,0))</f>
        <v/>
      </c>
      <c r="B287" s="59" t="str">
        <f>IF(E287="","",VLOOKUP('Opći dio'!$C$3,'Opći dio'!$L$6:$U$135,9,0))</f>
        <v/>
      </c>
      <c r="C287" s="60" t="str">
        <f t="shared" si="22"/>
        <v/>
      </c>
      <c r="D287" s="61" t="str">
        <f t="shared" si="23"/>
        <v/>
      </c>
      <c r="E287" s="62"/>
      <c r="F287" s="63" t="str">
        <f t="shared" si="24"/>
        <v/>
      </c>
      <c r="G287" s="64"/>
      <c r="H287" s="64"/>
      <c r="I287" s="64"/>
      <c r="K287" t="str">
        <f t="shared" si="25"/>
        <v/>
      </c>
      <c r="L287" t="str">
        <f t="shared" si="26"/>
        <v/>
      </c>
    </row>
    <row r="288" spans="1:12">
      <c r="A288" s="59" t="str">
        <f>IF(E288="","",VLOOKUP('Opći dio'!$C$3,'Opći dio'!$L$6:$U$135,10,0))</f>
        <v/>
      </c>
      <c r="B288" s="59" t="str">
        <f>IF(E288="","",VLOOKUP('Opći dio'!$C$3,'Opći dio'!$L$6:$U$135,9,0))</f>
        <v/>
      </c>
      <c r="C288" s="60" t="str">
        <f t="shared" si="22"/>
        <v/>
      </c>
      <c r="D288" s="61" t="str">
        <f t="shared" si="23"/>
        <v/>
      </c>
      <c r="E288" s="62"/>
      <c r="F288" s="63" t="str">
        <f t="shared" si="24"/>
        <v/>
      </c>
      <c r="G288" s="64"/>
      <c r="H288" s="64"/>
      <c r="I288" s="64"/>
      <c r="K288" t="str">
        <f t="shared" si="25"/>
        <v/>
      </c>
      <c r="L288" t="str">
        <f t="shared" si="26"/>
        <v/>
      </c>
    </row>
    <row r="289" spans="1:12">
      <c r="A289" s="59" t="str">
        <f>IF(E289="","",VLOOKUP('Opći dio'!$C$3,'Opći dio'!$L$6:$U$135,10,0))</f>
        <v/>
      </c>
      <c r="B289" s="59" t="str">
        <f>IF(E289="","",VLOOKUP('Opći dio'!$C$3,'Opći dio'!$L$6:$U$135,9,0))</f>
        <v/>
      </c>
      <c r="C289" s="60" t="str">
        <f t="shared" si="22"/>
        <v/>
      </c>
      <c r="D289" s="61" t="str">
        <f t="shared" si="23"/>
        <v/>
      </c>
      <c r="E289" s="62"/>
      <c r="F289" s="63" t="str">
        <f t="shared" si="24"/>
        <v/>
      </c>
      <c r="G289" s="64"/>
      <c r="H289" s="64"/>
      <c r="I289" s="64"/>
      <c r="K289" t="str">
        <f t="shared" si="25"/>
        <v/>
      </c>
      <c r="L289" t="str">
        <f t="shared" si="26"/>
        <v/>
      </c>
    </row>
    <row r="290" spans="1:12">
      <c r="A290" s="59" t="str">
        <f>IF(E290="","",VLOOKUP('Opći dio'!$C$3,'Opći dio'!$L$6:$U$135,10,0))</f>
        <v/>
      </c>
      <c r="B290" s="59" t="str">
        <f>IF(E290="","",VLOOKUP('Opći dio'!$C$3,'Opći dio'!$L$6:$U$135,9,0))</f>
        <v/>
      </c>
      <c r="C290" s="60" t="str">
        <f t="shared" si="22"/>
        <v/>
      </c>
      <c r="D290" s="61" t="str">
        <f t="shared" si="23"/>
        <v/>
      </c>
      <c r="E290" s="62"/>
      <c r="F290" s="63" t="str">
        <f t="shared" si="24"/>
        <v/>
      </c>
      <c r="G290" s="64"/>
      <c r="H290" s="64"/>
      <c r="I290" s="64"/>
      <c r="K290" t="str">
        <f t="shared" si="25"/>
        <v/>
      </c>
      <c r="L290" t="str">
        <f t="shared" si="26"/>
        <v/>
      </c>
    </row>
    <row r="291" spans="1:12">
      <c r="A291" s="59" t="str">
        <f>IF(E291="","",VLOOKUP('Opći dio'!$C$3,'Opći dio'!$L$6:$U$135,10,0))</f>
        <v/>
      </c>
      <c r="B291" s="59" t="str">
        <f>IF(E291="","",VLOOKUP('Opći dio'!$C$3,'Opći dio'!$L$6:$U$135,9,0))</f>
        <v/>
      </c>
      <c r="C291" s="60" t="str">
        <f t="shared" si="22"/>
        <v/>
      </c>
      <c r="D291" s="61" t="str">
        <f t="shared" si="23"/>
        <v/>
      </c>
      <c r="E291" s="62"/>
      <c r="F291" s="63" t="str">
        <f t="shared" si="24"/>
        <v/>
      </c>
      <c r="G291" s="64"/>
      <c r="H291" s="64"/>
      <c r="I291" s="64"/>
      <c r="K291" t="str">
        <f t="shared" si="25"/>
        <v/>
      </c>
      <c r="L291" t="str">
        <f t="shared" si="26"/>
        <v/>
      </c>
    </row>
    <row r="292" spans="1:12">
      <c r="A292" s="59" t="str">
        <f>IF(E292="","",VLOOKUP('Opći dio'!$C$3,'Opći dio'!$L$6:$U$135,10,0))</f>
        <v/>
      </c>
      <c r="B292" s="59" t="str">
        <f>IF(E292="","",VLOOKUP('Opći dio'!$C$3,'Opći dio'!$L$6:$U$135,9,0))</f>
        <v/>
      </c>
      <c r="C292" s="60" t="str">
        <f t="shared" si="22"/>
        <v/>
      </c>
      <c r="D292" s="61" t="str">
        <f t="shared" si="23"/>
        <v/>
      </c>
      <c r="E292" s="62"/>
      <c r="F292" s="63" t="str">
        <f t="shared" si="24"/>
        <v/>
      </c>
      <c r="G292" s="64"/>
      <c r="H292" s="64"/>
      <c r="I292" s="64"/>
      <c r="K292" t="str">
        <f t="shared" si="25"/>
        <v/>
      </c>
      <c r="L292" t="str">
        <f t="shared" si="26"/>
        <v/>
      </c>
    </row>
    <row r="293" spans="1:12">
      <c r="A293" s="59" t="str">
        <f>IF(E293="","",VLOOKUP('Opći dio'!$C$3,'Opći dio'!$L$6:$U$135,10,0))</f>
        <v/>
      </c>
      <c r="B293" s="59" t="str">
        <f>IF(E293="","",VLOOKUP('Opći dio'!$C$3,'Opći dio'!$L$6:$U$135,9,0))</f>
        <v/>
      </c>
      <c r="C293" s="60" t="str">
        <f t="shared" si="22"/>
        <v/>
      </c>
      <c r="D293" s="61" t="str">
        <f t="shared" si="23"/>
        <v/>
      </c>
      <c r="E293" s="62"/>
      <c r="F293" s="63" t="str">
        <f t="shared" si="24"/>
        <v/>
      </c>
      <c r="G293" s="64"/>
      <c r="H293" s="64"/>
      <c r="I293" s="64"/>
      <c r="K293" t="str">
        <f t="shared" si="25"/>
        <v/>
      </c>
      <c r="L293" t="str">
        <f t="shared" si="26"/>
        <v/>
      </c>
    </row>
    <row r="294" spans="1:12">
      <c r="A294" s="59" t="str">
        <f>IF(E294="","",VLOOKUP('Opći dio'!$C$3,'Opći dio'!$L$6:$U$135,10,0))</f>
        <v/>
      </c>
      <c r="B294" s="59" t="str">
        <f>IF(E294="","",VLOOKUP('Opći dio'!$C$3,'Opći dio'!$L$6:$U$135,9,0))</f>
        <v/>
      </c>
      <c r="C294" s="60" t="str">
        <f t="shared" si="22"/>
        <v/>
      </c>
      <c r="D294" s="61" t="str">
        <f t="shared" si="23"/>
        <v/>
      </c>
      <c r="E294" s="62"/>
      <c r="F294" s="63" t="str">
        <f t="shared" si="24"/>
        <v/>
      </c>
      <c r="G294" s="64"/>
      <c r="H294" s="64"/>
      <c r="I294" s="64"/>
      <c r="K294" t="str">
        <f t="shared" si="25"/>
        <v/>
      </c>
      <c r="L294" t="str">
        <f t="shared" si="26"/>
        <v/>
      </c>
    </row>
    <row r="295" spans="1:12">
      <c r="A295" s="59" t="str">
        <f>IF(E295="","",VLOOKUP('Opći dio'!$C$3,'Opći dio'!$L$6:$U$135,10,0))</f>
        <v/>
      </c>
      <c r="B295" s="59" t="str">
        <f>IF(E295="","",VLOOKUP('Opći dio'!$C$3,'Opći dio'!$L$6:$U$135,9,0))</f>
        <v/>
      </c>
      <c r="C295" s="60" t="str">
        <f t="shared" si="22"/>
        <v/>
      </c>
      <c r="D295" s="61" t="str">
        <f t="shared" si="23"/>
        <v/>
      </c>
      <c r="E295" s="62"/>
      <c r="F295" s="63" t="str">
        <f t="shared" si="24"/>
        <v/>
      </c>
      <c r="G295" s="64"/>
      <c r="H295" s="64"/>
      <c r="I295" s="64"/>
      <c r="K295" t="str">
        <f t="shared" si="25"/>
        <v/>
      </c>
      <c r="L295" t="str">
        <f t="shared" si="26"/>
        <v/>
      </c>
    </row>
    <row r="296" spans="1:12">
      <c r="A296" s="59" t="str">
        <f>IF(E296="","",VLOOKUP('Opći dio'!$C$3,'Opći dio'!$L$6:$U$135,10,0))</f>
        <v/>
      </c>
      <c r="B296" s="59" t="str">
        <f>IF(E296="","",VLOOKUP('Opći dio'!$C$3,'Opći dio'!$L$6:$U$135,9,0))</f>
        <v/>
      </c>
      <c r="C296" s="60" t="str">
        <f t="shared" si="22"/>
        <v/>
      </c>
      <c r="D296" s="61" t="str">
        <f t="shared" si="23"/>
        <v/>
      </c>
      <c r="E296" s="62"/>
      <c r="F296" s="63" t="str">
        <f t="shared" si="24"/>
        <v/>
      </c>
      <c r="G296" s="64"/>
      <c r="H296" s="64"/>
      <c r="I296" s="64"/>
      <c r="K296" t="str">
        <f t="shared" si="25"/>
        <v/>
      </c>
      <c r="L296" t="str">
        <f t="shared" si="26"/>
        <v/>
      </c>
    </row>
    <row r="297" spans="1:12">
      <c r="A297" s="59" t="str">
        <f>IF(E297="","",VLOOKUP('Opći dio'!$C$3,'Opći dio'!$L$6:$U$135,10,0))</f>
        <v/>
      </c>
      <c r="B297" s="59" t="str">
        <f>IF(E297="","",VLOOKUP('Opći dio'!$C$3,'Opći dio'!$L$6:$U$135,9,0))</f>
        <v/>
      </c>
      <c r="C297" s="60" t="str">
        <f t="shared" si="22"/>
        <v/>
      </c>
      <c r="D297" s="61" t="str">
        <f t="shared" si="23"/>
        <v/>
      </c>
      <c r="E297" s="62"/>
      <c r="F297" s="63" t="str">
        <f t="shared" si="24"/>
        <v/>
      </c>
      <c r="G297" s="64"/>
      <c r="H297" s="64"/>
      <c r="I297" s="64"/>
      <c r="K297" t="str">
        <f t="shared" si="25"/>
        <v/>
      </c>
      <c r="L297" t="str">
        <f t="shared" si="26"/>
        <v/>
      </c>
    </row>
    <row r="298" spans="1:12">
      <c r="A298" s="59" t="str">
        <f>IF(E298="","",VLOOKUP('Opći dio'!$C$3,'Opći dio'!$L$6:$U$135,10,0))</f>
        <v/>
      </c>
      <c r="B298" s="59" t="str">
        <f>IF(E298="","",VLOOKUP('Opći dio'!$C$3,'Opći dio'!$L$6:$U$135,9,0))</f>
        <v/>
      </c>
      <c r="C298" s="60" t="str">
        <f t="shared" si="22"/>
        <v/>
      </c>
      <c r="D298" s="61" t="str">
        <f t="shared" si="23"/>
        <v/>
      </c>
      <c r="E298" s="62"/>
      <c r="F298" s="63" t="str">
        <f t="shared" si="24"/>
        <v/>
      </c>
      <c r="G298" s="64"/>
      <c r="H298" s="64"/>
      <c r="I298" s="64"/>
      <c r="K298" t="str">
        <f t="shared" si="25"/>
        <v/>
      </c>
      <c r="L298" t="str">
        <f t="shared" si="26"/>
        <v/>
      </c>
    </row>
    <row r="299" spans="1:12">
      <c r="A299" s="59" t="str">
        <f>IF(E299="","",VLOOKUP('Opći dio'!$C$3,'Opći dio'!$L$6:$U$135,10,0))</f>
        <v/>
      </c>
      <c r="B299" s="59" t="str">
        <f>IF(E299="","",VLOOKUP('Opći dio'!$C$3,'Opći dio'!$L$6:$U$135,9,0))</f>
        <v/>
      </c>
      <c r="C299" s="60" t="str">
        <f t="shared" si="22"/>
        <v/>
      </c>
      <c r="D299" s="61" t="str">
        <f t="shared" si="23"/>
        <v/>
      </c>
      <c r="E299" s="62"/>
      <c r="F299" s="63" t="str">
        <f t="shared" si="24"/>
        <v/>
      </c>
      <c r="G299" s="64"/>
      <c r="H299" s="64"/>
      <c r="I299" s="64"/>
      <c r="K299" t="str">
        <f t="shared" si="25"/>
        <v/>
      </c>
      <c r="L299" t="str">
        <f t="shared" si="26"/>
        <v/>
      </c>
    </row>
    <row r="300" spans="1:12">
      <c r="A300" s="59" t="str">
        <f>IF(E300="","",VLOOKUP('Opći dio'!$C$3,'Opći dio'!$L$6:$U$135,10,0))</f>
        <v/>
      </c>
      <c r="B300" s="59" t="str">
        <f>IF(E300="","",VLOOKUP('Opći dio'!$C$3,'Opći dio'!$L$6:$U$135,9,0))</f>
        <v/>
      </c>
      <c r="C300" s="60" t="str">
        <f t="shared" si="22"/>
        <v/>
      </c>
      <c r="D300" s="61" t="str">
        <f t="shared" si="23"/>
        <v/>
      </c>
      <c r="E300" s="62"/>
      <c r="F300" s="63" t="str">
        <f t="shared" si="24"/>
        <v/>
      </c>
      <c r="G300" s="64"/>
      <c r="H300" s="64"/>
      <c r="I300" s="64"/>
      <c r="K300" t="str">
        <f t="shared" si="25"/>
        <v/>
      </c>
      <c r="L300" t="str">
        <f t="shared" si="26"/>
        <v/>
      </c>
    </row>
    <row r="301" spans="1:12">
      <c r="A301" s="59" t="str">
        <f>IF(E301="","",VLOOKUP('Opći dio'!$C$3,'Opći dio'!$L$6:$U$135,10,0))</f>
        <v/>
      </c>
      <c r="B301" s="59" t="str">
        <f>IF(E301="","",VLOOKUP('Opći dio'!$C$3,'Opći dio'!$L$6:$U$135,9,0))</f>
        <v/>
      </c>
      <c r="C301" s="60" t="str">
        <f t="shared" si="22"/>
        <v/>
      </c>
      <c r="D301" s="61" t="str">
        <f t="shared" si="23"/>
        <v/>
      </c>
      <c r="E301" s="62"/>
      <c r="F301" s="63" t="str">
        <f t="shared" si="24"/>
        <v/>
      </c>
      <c r="G301" s="64"/>
      <c r="H301" s="64"/>
      <c r="I301" s="64"/>
      <c r="K301" t="str">
        <f t="shared" si="25"/>
        <v/>
      </c>
      <c r="L301" t="str">
        <f t="shared" si="26"/>
        <v/>
      </c>
    </row>
    <row r="302" spans="1:12">
      <c r="A302" s="59" t="str">
        <f>IF(E302="","",VLOOKUP('Opći dio'!$C$3,'Opći dio'!$L$6:$U$135,10,0))</f>
        <v/>
      </c>
      <c r="B302" s="59" t="str">
        <f>IF(E302="","",VLOOKUP('Opći dio'!$C$3,'Opći dio'!$L$6:$U$135,9,0))</f>
        <v/>
      </c>
      <c r="C302" s="60" t="str">
        <f t="shared" si="22"/>
        <v/>
      </c>
      <c r="D302" s="61" t="str">
        <f t="shared" si="23"/>
        <v/>
      </c>
      <c r="E302" s="62"/>
      <c r="F302" s="63" t="str">
        <f t="shared" si="24"/>
        <v/>
      </c>
      <c r="G302" s="64"/>
      <c r="H302" s="64"/>
      <c r="I302" s="64"/>
      <c r="K302" t="str">
        <f t="shared" si="25"/>
        <v/>
      </c>
      <c r="L302" t="str">
        <f t="shared" si="26"/>
        <v/>
      </c>
    </row>
    <row r="303" spans="1:12">
      <c r="A303" s="59" t="str">
        <f>IF(E303="","",VLOOKUP('Opći dio'!$C$3,'Opći dio'!$L$6:$U$135,10,0))</f>
        <v/>
      </c>
      <c r="B303" s="59" t="str">
        <f>IF(E303="","",VLOOKUP('Opći dio'!$C$3,'Opći dio'!$L$6:$U$135,9,0))</f>
        <v/>
      </c>
      <c r="C303" s="60" t="str">
        <f t="shared" si="22"/>
        <v/>
      </c>
      <c r="D303" s="61" t="str">
        <f t="shared" si="23"/>
        <v/>
      </c>
      <c r="E303" s="62"/>
      <c r="F303" s="63" t="str">
        <f t="shared" si="24"/>
        <v/>
      </c>
      <c r="G303" s="64"/>
      <c r="H303" s="64"/>
      <c r="I303" s="64"/>
      <c r="K303" t="str">
        <f t="shared" si="25"/>
        <v/>
      </c>
      <c r="L303" t="str">
        <f t="shared" si="26"/>
        <v/>
      </c>
    </row>
    <row r="304" spans="1:12">
      <c r="A304" s="59" t="str">
        <f>IF(E304="","",VLOOKUP('Opći dio'!$C$3,'Opći dio'!$L$6:$U$135,10,0))</f>
        <v/>
      </c>
      <c r="B304" s="59" t="str">
        <f>IF(E304="","",VLOOKUP('Opći dio'!$C$3,'Opći dio'!$L$6:$U$135,9,0))</f>
        <v/>
      </c>
      <c r="C304" s="60" t="str">
        <f t="shared" si="22"/>
        <v/>
      </c>
      <c r="D304" s="61" t="str">
        <f t="shared" si="23"/>
        <v/>
      </c>
      <c r="E304" s="62"/>
      <c r="F304" s="63" t="str">
        <f t="shared" si="24"/>
        <v/>
      </c>
      <c r="G304" s="64"/>
      <c r="H304" s="64"/>
      <c r="I304" s="64"/>
      <c r="K304" t="str">
        <f t="shared" si="25"/>
        <v/>
      </c>
      <c r="L304" t="str">
        <f t="shared" si="26"/>
        <v/>
      </c>
    </row>
    <row r="305" spans="1:12">
      <c r="A305" s="59" t="str">
        <f>IF(E305="","",VLOOKUP('Opći dio'!$C$3,'Opći dio'!$L$6:$U$135,10,0))</f>
        <v/>
      </c>
      <c r="B305" s="59" t="str">
        <f>IF(E305="","",VLOOKUP('Opći dio'!$C$3,'Opći dio'!$L$6:$U$135,9,0))</f>
        <v/>
      </c>
      <c r="C305" s="60" t="str">
        <f t="shared" si="22"/>
        <v/>
      </c>
      <c r="D305" s="61" t="str">
        <f t="shared" si="23"/>
        <v/>
      </c>
      <c r="E305" s="62"/>
      <c r="F305" s="63" t="str">
        <f t="shared" si="24"/>
        <v/>
      </c>
      <c r="G305" s="64"/>
      <c r="H305" s="64"/>
      <c r="I305" s="64"/>
      <c r="K305" t="str">
        <f t="shared" si="25"/>
        <v/>
      </c>
      <c r="L305" t="str">
        <f t="shared" si="26"/>
        <v/>
      </c>
    </row>
    <row r="306" spans="1:12">
      <c r="A306" s="59" t="str">
        <f>IF(E306="","",VLOOKUP('Opći dio'!$C$3,'Opći dio'!$L$6:$U$135,10,0))</f>
        <v/>
      </c>
      <c r="B306" s="59" t="str">
        <f>IF(E306="","",VLOOKUP('Opći dio'!$C$3,'Opći dio'!$L$6:$U$135,9,0))</f>
        <v/>
      </c>
      <c r="C306" s="60" t="str">
        <f t="shared" si="22"/>
        <v/>
      </c>
      <c r="D306" s="61" t="str">
        <f t="shared" si="23"/>
        <v/>
      </c>
      <c r="E306" s="62"/>
      <c r="F306" s="63" t="str">
        <f t="shared" si="24"/>
        <v/>
      </c>
      <c r="G306" s="64"/>
      <c r="H306" s="64"/>
      <c r="I306" s="64"/>
      <c r="K306" t="str">
        <f t="shared" si="25"/>
        <v/>
      </c>
      <c r="L306" t="str">
        <f t="shared" si="26"/>
        <v/>
      </c>
    </row>
    <row r="307" spans="1:12">
      <c r="A307" s="59" t="str">
        <f>IF(E307="","",VLOOKUP('Opći dio'!$C$3,'Opći dio'!$L$6:$U$135,10,0))</f>
        <v/>
      </c>
      <c r="B307" s="59" t="str">
        <f>IF(E307="","",VLOOKUP('Opći dio'!$C$3,'Opći dio'!$L$6:$U$135,9,0))</f>
        <v/>
      </c>
      <c r="C307" s="60" t="str">
        <f t="shared" si="22"/>
        <v/>
      </c>
      <c r="D307" s="61" t="str">
        <f t="shared" si="23"/>
        <v/>
      </c>
      <c r="E307" s="62"/>
      <c r="F307" s="63" t="str">
        <f t="shared" si="24"/>
        <v/>
      </c>
      <c r="G307" s="64"/>
      <c r="H307" s="64"/>
      <c r="I307" s="64"/>
      <c r="K307" t="str">
        <f t="shared" si="25"/>
        <v/>
      </c>
      <c r="L307" t="str">
        <f t="shared" si="26"/>
        <v/>
      </c>
    </row>
    <row r="308" spans="1:12">
      <c r="A308" s="59" t="str">
        <f>IF(E308="","",VLOOKUP('Opći dio'!$C$3,'Opći dio'!$L$6:$U$135,10,0))</f>
        <v/>
      </c>
      <c r="B308" s="59" t="str">
        <f>IF(E308="","",VLOOKUP('Opći dio'!$C$3,'Opći dio'!$L$6:$U$135,9,0))</f>
        <v/>
      </c>
      <c r="C308" s="60" t="str">
        <f t="shared" si="22"/>
        <v/>
      </c>
      <c r="D308" s="61" t="str">
        <f t="shared" si="23"/>
        <v/>
      </c>
      <c r="E308" s="62"/>
      <c r="F308" s="63" t="str">
        <f t="shared" si="24"/>
        <v/>
      </c>
      <c r="G308" s="64"/>
      <c r="H308" s="64"/>
      <c r="I308" s="64"/>
      <c r="K308" t="str">
        <f t="shared" si="25"/>
        <v/>
      </c>
      <c r="L308" t="str">
        <f t="shared" si="26"/>
        <v/>
      </c>
    </row>
    <row r="309" spans="1:12">
      <c r="A309" s="59" t="str">
        <f>IF(E309="","",VLOOKUP('Opći dio'!$C$3,'Opći dio'!$L$6:$U$135,10,0))</f>
        <v/>
      </c>
      <c r="B309" s="59" t="str">
        <f>IF(E309="","",VLOOKUP('Opći dio'!$C$3,'Opći dio'!$L$6:$U$135,9,0))</f>
        <v/>
      </c>
      <c r="C309" s="60" t="str">
        <f t="shared" si="22"/>
        <v/>
      </c>
      <c r="D309" s="61" t="str">
        <f t="shared" si="23"/>
        <v/>
      </c>
      <c r="E309" s="62"/>
      <c r="F309" s="63" t="str">
        <f t="shared" si="24"/>
        <v/>
      </c>
      <c r="G309" s="64"/>
      <c r="H309" s="64"/>
      <c r="I309" s="64"/>
      <c r="K309" t="str">
        <f t="shared" si="25"/>
        <v/>
      </c>
      <c r="L309" t="str">
        <f t="shared" si="26"/>
        <v/>
      </c>
    </row>
    <row r="310" spans="1:12">
      <c r="A310" s="59" t="str">
        <f>IF(E310="","",VLOOKUP('Opći dio'!$C$3,'Opći dio'!$L$6:$U$135,10,0))</f>
        <v/>
      </c>
      <c r="B310" s="59" t="str">
        <f>IF(E310="","",VLOOKUP('Opći dio'!$C$3,'Opći dio'!$L$6:$U$135,9,0))</f>
        <v/>
      </c>
      <c r="C310" s="60" t="str">
        <f t="shared" si="22"/>
        <v/>
      </c>
      <c r="D310" s="61" t="str">
        <f t="shared" si="23"/>
        <v/>
      </c>
      <c r="E310" s="62"/>
      <c r="F310" s="63" t="str">
        <f t="shared" si="24"/>
        <v/>
      </c>
      <c r="G310" s="64"/>
      <c r="H310" s="64"/>
      <c r="I310" s="64"/>
      <c r="K310" t="str">
        <f t="shared" si="25"/>
        <v/>
      </c>
      <c r="L310" t="str">
        <f t="shared" si="26"/>
        <v/>
      </c>
    </row>
    <row r="311" spans="1:12">
      <c r="A311" s="59" t="str">
        <f>IF(E311="","",VLOOKUP('Opći dio'!$C$3,'Opći dio'!$L$6:$U$135,10,0))</f>
        <v/>
      </c>
      <c r="B311" s="59" t="str">
        <f>IF(E311="","",VLOOKUP('Opći dio'!$C$3,'Opći dio'!$L$6:$U$135,9,0))</f>
        <v/>
      </c>
      <c r="C311" s="60" t="str">
        <f t="shared" si="22"/>
        <v/>
      </c>
      <c r="D311" s="61" t="str">
        <f t="shared" si="23"/>
        <v/>
      </c>
      <c r="E311" s="62"/>
      <c r="F311" s="63" t="str">
        <f t="shared" si="24"/>
        <v/>
      </c>
      <c r="G311" s="64"/>
      <c r="H311" s="64"/>
      <c r="I311" s="64"/>
      <c r="K311" t="str">
        <f t="shared" si="25"/>
        <v/>
      </c>
      <c r="L311" t="str">
        <f t="shared" si="26"/>
        <v/>
      </c>
    </row>
    <row r="312" spans="1:12">
      <c r="A312" s="59" t="str">
        <f>IF(E312="","",VLOOKUP('Opći dio'!$C$3,'Opći dio'!$L$6:$U$135,10,0))</f>
        <v/>
      </c>
      <c r="B312" s="59" t="str">
        <f>IF(E312="","",VLOOKUP('Opći dio'!$C$3,'Opći dio'!$L$6:$U$135,9,0))</f>
        <v/>
      </c>
      <c r="C312" s="60" t="str">
        <f t="shared" si="22"/>
        <v/>
      </c>
      <c r="D312" s="61" t="str">
        <f t="shared" si="23"/>
        <v/>
      </c>
      <c r="E312" s="62"/>
      <c r="F312" s="63" t="str">
        <f t="shared" si="24"/>
        <v/>
      </c>
      <c r="G312" s="64"/>
      <c r="H312" s="64"/>
      <c r="I312" s="64"/>
      <c r="K312" t="str">
        <f t="shared" si="25"/>
        <v/>
      </c>
      <c r="L312" t="str">
        <f t="shared" si="26"/>
        <v/>
      </c>
    </row>
    <row r="313" spans="1:12">
      <c r="A313" s="59" t="str">
        <f>IF(E313="","",VLOOKUP('Opći dio'!$C$3,'Opći dio'!$L$6:$U$135,10,0))</f>
        <v/>
      </c>
      <c r="B313" s="59" t="str">
        <f>IF(E313="","",VLOOKUP('Opći dio'!$C$3,'Opći dio'!$L$6:$U$135,9,0))</f>
        <v/>
      </c>
      <c r="C313" s="60" t="str">
        <f t="shared" si="22"/>
        <v/>
      </c>
      <c r="D313" s="61" t="str">
        <f t="shared" si="23"/>
        <v/>
      </c>
      <c r="E313" s="62"/>
      <c r="F313" s="63" t="str">
        <f t="shared" si="24"/>
        <v/>
      </c>
      <c r="G313" s="64"/>
      <c r="H313" s="64"/>
      <c r="I313" s="64"/>
      <c r="K313" t="str">
        <f t="shared" si="25"/>
        <v/>
      </c>
      <c r="L313" t="str">
        <f t="shared" si="26"/>
        <v/>
      </c>
    </row>
    <row r="314" spans="1:12">
      <c r="A314" s="59" t="str">
        <f>IF(E314="","",VLOOKUP('Opći dio'!$C$3,'Opći dio'!$L$6:$U$135,10,0))</f>
        <v/>
      </c>
      <c r="B314" s="59" t="str">
        <f>IF(E314="","",VLOOKUP('Opći dio'!$C$3,'Opći dio'!$L$6:$U$135,9,0))</f>
        <v/>
      </c>
      <c r="C314" s="60" t="str">
        <f t="shared" si="22"/>
        <v/>
      </c>
      <c r="D314" s="61" t="str">
        <f t="shared" si="23"/>
        <v/>
      </c>
      <c r="E314" s="62"/>
      <c r="F314" s="63" t="str">
        <f t="shared" si="24"/>
        <v/>
      </c>
      <c r="G314" s="64"/>
      <c r="H314" s="64"/>
      <c r="I314" s="64"/>
      <c r="K314" t="str">
        <f t="shared" si="25"/>
        <v/>
      </c>
      <c r="L314" t="str">
        <f t="shared" si="26"/>
        <v/>
      </c>
    </row>
    <row r="315" spans="1:12">
      <c r="A315" s="59" t="str">
        <f>IF(E315="","",VLOOKUP('Opći dio'!$C$3,'Opći dio'!$L$6:$U$135,10,0))</f>
        <v/>
      </c>
      <c r="B315" s="59" t="str">
        <f>IF(E315="","",VLOOKUP('Opći dio'!$C$3,'Opći dio'!$L$6:$U$135,9,0))</f>
        <v/>
      </c>
      <c r="C315" s="60" t="str">
        <f t="shared" si="22"/>
        <v/>
      </c>
      <c r="D315" s="61" t="str">
        <f t="shared" si="23"/>
        <v/>
      </c>
      <c r="E315" s="62"/>
      <c r="F315" s="63" t="str">
        <f t="shared" si="24"/>
        <v/>
      </c>
      <c r="G315" s="64"/>
      <c r="H315" s="64"/>
      <c r="I315" s="64"/>
      <c r="K315" t="str">
        <f t="shared" si="25"/>
        <v/>
      </c>
      <c r="L315" t="str">
        <f t="shared" si="26"/>
        <v/>
      </c>
    </row>
    <row r="316" spans="1:12">
      <c r="A316" s="59" t="str">
        <f>IF(E316="","",VLOOKUP('Opći dio'!$C$3,'Opći dio'!$L$6:$U$135,10,0))</f>
        <v/>
      </c>
      <c r="B316" s="59" t="str">
        <f>IF(E316="","",VLOOKUP('Opći dio'!$C$3,'Opći dio'!$L$6:$U$135,9,0))</f>
        <v/>
      </c>
      <c r="C316" s="60" t="str">
        <f t="shared" si="22"/>
        <v/>
      </c>
      <c r="D316" s="61" t="str">
        <f t="shared" si="23"/>
        <v/>
      </c>
      <c r="E316" s="62"/>
      <c r="F316" s="63" t="str">
        <f t="shared" si="24"/>
        <v/>
      </c>
      <c r="G316" s="64"/>
      <c r="H316" s="64"/>
      <c r="I316" s="64"/>
      <c r="K316" t="str">
        <f t="shared" si="25"/>
        <v/>
      </c>
      <c r="L316" t="str">
        <f t="shared" si="26"/>
        <v/>
      </c>
    </row>
    <row r="317" spans="1:12">
      <c r="A317" s="59" t="str">
        <f>IF(E317="","",VLOOKUP('Opći dio'!$C$3,'Opći dio'!$L$6:$U$135,10,0))</f>
        <v/>
      </c>
      <c r="B317" s="59" t="str">
        <f>IF(E317="","",VLOOKUP('Opći dio'!$C$3,'Opći dio'!$L$6:$U$135,9,0))</f>
        <v/>
      </c>
      <c r="C317" s="60" t="str">
        <f t="shared" si="22"/>
        <v/>
      </c>
      <c r="D317" s="61" t="str">
        <f t="shared" si="23"/>
        <v/>
      </c>
      <c r="E317" s="62"/>
      <c r="F317" s="63" t="str">
        <f t="shared" si="24"/>
        <v/>
      </c>
      <c r="G317" s="64"/>
      <c r="H317" s="64"/>
      <c r="I317" s="64"/>
      <c r="K317" t="str">
        <f t="shared" si="25"/>
        <v/>
      </c>
      <c r="L317" t="str">
        <f t="shared" si="26"/>
        <v/>
      </c>
    </row>
    <row r="318" spans="1:12">
      <c r="A318" s="59" t="str">
        <f>IF(E318="","",VLOOKUP('Opći dio'!$C$3,'Opći dio'!$L$6:$U$135,10,0))</f>
        <v/>
      </c>
      <c r="B318" s="59" t="str">
        <f>IF(E318="","",VLOOKUP('Opći dio'!$C$3,'Opći dio'!$L$6:$U$135,9,0))</f>
        <v/>
      </c>
      <c r="C318" s="60" t="str">
        <f t="shared" si="22"/>
        <v/>
      </c>
      <c r="D318" s="61" t="str">
        <f t="shared" si="23"/>
        <v/>
      </c>
      <c r="E318" s="62"/>
      <c r="F318" s="63" t="str">
        <f t="shared" si="24"/>
        <v/>
      </c>
      <c r="G318" s="64"/>
      <c r="H318" s="64"/>
      <c r="I318" s="64"/>
      <c r="K318" t="str">
        <f t="shared" si="25"/>
        <v/>
      </c>
      <c r="L318" t="str">
        <f t="shared" si="26"/>
        <v/>
      </c>
    </row>
    <row r="319" spans="1:12">
      <c r="A319" s="59" t="str">
        <f>IF(E319="","",VLOOKUP('Opći dio'!$C$3,'Opći dio'!$L$6:$U$135,10,0))</f>
        <v/>
      </c>
      <c r="B319" s="59" t="str">
        <f>IF(E319="","",VLOOKUP('Opći dio'!$C$3,'Opći dio'!$L$6:$U$135,9,0))</f>
        <v/>
      </c>
      <c r="C319" s="60" t="str">
        <f t="shared" si="22"/>
        <v/>
      </c>
      <c r="D319" s="61" t="str">
        <f t="shared" si="23"/>
        <v/>
      </c>
      <c r="E319" s="62"/>
      <c r="F319" s="63" t="str">
        <f t="shared" si="24"/>
        <v/>
      </c>
      <c r="G319" s="64"/>
      <c r="H319" s="64"/>
      <c r="I319" s="64"/>
      <c r="K319" t="str">
        <f t="shared" si="25"/>
        <v/>
      </c>
      <c r="L319" t="str">
        <f t="shared" si="26"/>
        <v/>
      </c>
    </row>
    <row r="320" spans="1:12">
      <c r="A320" s="59" t="str">
        <f>IF(E320="","",VLOOKUP('Opći dio'!$C$3,'Opći dio'!$L$6:$U$135,10,0))</f>
        <v/>
      </c>
      <c r="B320" s="59" t="str">
        <f>IF(E320="","",VLOOKUP('Opći dio'!$C$3,'Opći dio'!$L$6:$U$135,9,0))</f>
        <v/>
      </c>
      <c r="C320" s="60" t="str">
        <f t="shared" si="22"/>
        <v/>
      </c>
      <c r="D320" s="61" t="str">
        <f t="shared" si="23"/>
        <v/>
      </c>
      <c r="E320" s="62"/>
      <c r="F320" s="63" t="str">
        <f t="shared" si="24"/>
        <v/>
      </c>
      <c r="G320" s="64"/>
      <c r="H320" s="64"/>
      <c r="I320" s="64"/>
      <c r="K320" t="str">
        <f t="shared" si="25"/>
        <v/>
      </c>
      <c r="L320" t="str">
        <f t="shared" si="26"/>
        <v/>
      </c>
    </row>
    <row r="321" spans="1:12">
      <c r="A321" s="59" t="str">
        <f>IF(E321="","",VLOOKUP('Opći dio'!$C$3,'Opći dio'!$L$6:$U$135,10,0))</f>
        <v/>
      </c>
      <c r="B321" s="59" t="str">
        <f>IF(E321="","",VLOOKUP('Opći dio'!$C$3,'Opći dio'!$L$6:$U$135,9,0))</f>
        <v/>
      </c>
      <c r="C321" s="60" t="str">
        <f t="shared" si="22"/>
        <v/>
      </c>
      <c r="D321" s="61" t="str">
        <f t="shared" si="23"/>
        <v/>
      </c>
      <c r="E321" s="62"/>
      <c r="F321" s="63" t="str">
        <f t="shared" si="24"/>
        <v/>
      </c>
      <c r="G321" s="64"/>
      <c r="H321" s="64"/>
      <c r="I321" s="64"/>
      <c r="K321" t="str">
        <f t="shared" si="25"/>
        <v/>
      </c>
      <c r="L321" t="str">
        <f t="shared" si="26"/>
        <v/>
      </c>
    </row>
    <row r="322" spans="1:12">
      <c r="A322" s="59" t="str">
        <f>IF(E322="","",VLOOKUP('Opći dio'!$C$3,'Opći dio'!$L$6:$U$135,10,0))</f>
        <v/>
      </c>
      <c r="B322" s="59" t="str">
        <f>IF(E322="","",VLOOKUP('Opći dio'!$C$3,'Opći dio'!$L$6:$U$135,9,0))</f>
        <v/>
      </c>
      <c r="C322" s="60" t="str">
        <f t="shared" si="22"/>
        <v/>
      </c>
      <c r="D322" s="61" t="str">
        <f t="shared" si="23"/>
        <v/>
      </c>
      <c r="E322" s="62"/>
      <c r="F322" s="63" t="str">
        <f t="shared" si="24"/>
        <v/>
      </c>
      <c r="G322" s="64"/>
      <c r="H322" s="64"/>
      <c r="I322" s="64"/>
      <c r="K322" t="str">
        <f t="shared" si="25"/>
        <v/>
      </c>
      <c r="L322" t="str">
        <f t="shared" si="26"/>
        <v/>
      </c>
    </row>
    <row r="323" spans="1:12">
      <c r="A323" s="59" t="str">
        <f>IF(E323="","",VLOOKUP('Opći dio'!$C$3,'Opći dio'!$L$6:$U$135,10,0))</f>
        <v/>
      </c>
      <c r="B323" s="59" t="str">
        <f>IF(E323="","",VLOOKUP('Opći dio'!$C$3,'Opći dio'!$L$6:$U$135,9,0))</f>
        <v/>
      </c>
      <c r="C323" s="60" t="str">
        <f t="shared" ref="C323:C386" si="27">IFERROR(VLOOKUP(E323,$R$6:$U$73,3,0),"")</f>
        <v/>
      </c>
      <c r="D323" s="61" t="str">
        <f t="shared" ref="D323:D386" si="28">IFERROR(VLOOKUP(E323,$R$6:$U$73,4,0),"")</f>
        <v/>
      </c>
      <c r="E323" s="62"/>
      <c r="F323" s="63" t="str">
        <f t="shared" ref="F323:F386" si="29">IFERROR(VLOOKUP(E323,$R$6:$U$73,2,0),"")</f>
        <v/>
      </c>
      <c r="G323" s="64"/>
      <c r="H323" s="64"/>
      <c r="I323" s="64"/>
      <c r="K323" t="str">
        <f t="shared" ref="K323:K386" si="30">LEFT(E323,3)</f>
        <v/>
      </c>
      <c r="L323" t="str">
        <f t="shared" ref="L323:L386" si="31">LEFT(E323,2)</f>
        <v/>
      </c>
    </row>
    <row r="324" spans="1:12">
      <c r="A324" s="59" t="str">
        <f>IF(E324="","",VLOOKUP('Opći dio'!$C$3,'Opći dio'!$L$6:$U$135,10,0))</f>
        <v/>
      </c>
      <c r="B324" s="59" t="str">
        <f>IF(E324="","",VLOOKUP('Opći dio'!$C$3,'Opći dio'!$L$6:$U$135,9,0))</f>
        <v/>
      </c>
      <c r="C324" s="60" t="str">
        <f t="shared" si="27"/>
        <v/>
      </c>
      <c r="D324" s="61" t="str">
        <f t="shared" si="28"/>
        <v/>
      </c>
      <c r="E324" s="62"/>
      <c r="F324" s="63" t="str">
        <f t="shared" si="29"/>
        <v/>
      </c>
      <c r="G324" s="64"/>
      <c r="H324" s="64"/>
      <c r="I324" s="64"/>
      <c r="K324" t="str">
        <f t="shared" si="30"/>
        <v/>
      </c>
      <c r="L324" t="str">
        <f t="shared" si="31"/>
        <v/>
      </c>
    </row>
    <row r="325" spans="1:12">
      <c r="A325" s="59" t="str">
        <f>IF(E325="","",VLOOKUP('Opći dio'!$C$3,'Opći dio'!$L$6:$U$135,10,0))</f>
        <v/>
      </c>
      <c r="B325" s="59" t="str">
        <f>IF(E325="","",VLOOKUP('Opći dio'!$C$3,'Opći dio'!$L$6:$U$135,9,0))</f>
        <v/>
      </c>
      <c r="C325" s="60" t="str">
        <f t="shared" si="27"/>
        <v/>
      </c>
      <c r="D325" s="61" t="str">
        <f t="shared" si="28"/>
        <v/>
      </c>
      <c r="E325" s="62"/>
      <c r="F325" s="63" t="str">
        <f t="shared" si="29"/>
        <v/>
      </c>
      <c r="G325" s="64"/>
      <c r="H325" s="64"/>
      <c r="I325" s="64"/>
      <c r="K325" t="str">
        <f t="shared" si="30"/>
        <v/>
      </c>
      <c r="L325" t="str">
        <f t="shared" si="31"/>
        <v/>
      </c>
    </row>
    <row r="326" spans="1:12">
      <c r="A326" s="59" t="str">
        <f>IF(E326="","",VLOOKUP('Opći dio'!$C$3,'Opći dio'!$L$6:$U$135,10,0))</f>
        <v/>
      </c>
      <c r="B326" s="59" t="str">
        <f>IF(E326="","",VLOOKUP('Opći dio'!$C$3,'Opći dio'!$L$6:$U$135,9,0))</f>
        <v/>
      </c>
      <c r="C326" s="60" t="str">
        <f t="shared" si="27"/>
        <v/>
      </c>
      <c r="D326" s="61" t="str">
        <f t="shared" si="28"/>
        <v/>
      </c>
      <c r="E326" s="62"/>
      <c r="F326" s="63" t="str">
        <f t="shared" si="29"/>
        <v/>
      </c>
      <c r="G326" s="64"/>
      <c r="H326" s="64"/>
      <c r="I326" s="64"/>
      <c r="K326" t="str">
        <f t="shared" si="30"/>
        <v/>
      </c>
      <c r="L326" t="str">
        <f t="shared" si="31"/>
        <v/>
      </c>
    </row>
    <row r="327" spans="1:12">
      <c r="A327" s="59" t="str">
        <f>IF(E327="","",VLOOKUP('Opći dio'!$C$3,'Opći dio'!$L$6:$U$135,10,0))</f>
        <v/>
      </c>
      <c r="B327" s="59" t="str">
        <f>IF(E327="","",VLOOKUP('Opći dio'!$C$3,'Opći dio'!$L$6:$U$135,9,0))</f>
        <v/>
      </c>
      <c r="C327" s="60" t="str">
        <f t="shared" si="27"/>
        <v/>
      </c>
      <c r="D327" s="61" t="str">
        <f t="shared" si="28"/>
        <v/>
      </c>
      <c r="E327" s="62"/>
      <c r="F327" s="63" t="str">
        <f t="shared" si="29"/>
        <v/>
      </c>
      <c r="G327" s="64"/>
      <c r="H327" s="64"/>
      <c r="I327" s="64"/>
      <c r="K327" t="str">
        <f t="shared" si="30"/>
        <v/>
      </c>
      <c r="L327" t="str">
        <f t="shared" si="31"/>
        <v/>
      </c>
    </row>
    <row r="328" spans="1:12">
      <c r="A328" s="59" t="str">
        <f>IF(E328="","",VLOOKUP('Opći dio'!$C$3,'Opći dio'!$L$6:$U$135,10,0))</f>
        <v/>
      </c>
      <c r="B328" s="59" t="str">
        <f>IF(E328="","",VLOOKUP('Opći dio'!$C$3,'Opći dio'!$L$6:$U$135,9,0))</f>
        <v/>
      </c>
      <c r="C328" s="60" t="str">
        <f t="shared" si="27"/>
        <v/>
      </c>
      <c r="D328" s="61" t="str">
        <f t="shared" si="28"/>
        <v/>
      </c>
      <c r="E328" s="62"/>
      <c r="F328" s="63" t="str">
        <f t="shared" si="29"/>
        <v/>
      </c>
      <c r="G328" s="64"/>
      <c r="H328" s="64"/>
      <c r="I328" s="64"/>
      <c r="K328" t="str">
        <f t="shared" si="30"/>
        <v/>
      </c>
      <c r="L328" t="str">
        <f t="shared" si="31"/>
        <v/>
      </c>
    </row>
    <row r="329" spans="1:12">
      <c r="A329" s="59" t="str">
        <f>IF(E329="","",VLOOKUP('Opći dio'!$C$3,'Opći dio'!$L$6:$U$135,10,0))</f>
        <v/>
      </c>
      <c r="B329" s="59" t="str">
        <f>IF(E329="","",VLOOKUP('Opći dio'!$C$3,'Opći dio'!$L$6:$U$135,9,0))</f>
        <v/>
      </c>
      <c r="C329" s="60" t="str">
        <f t="shared" si="27"/>
        <v/>
      </c>
      <c r="D329" s="61" t="str">
        <f t="shared" si="28"/>
        <v/>
      </c>
      <c r="E329" s="62"/>
      <c r="F329" s="63" t="str">
        <f t="shared" si="29"/>
        <v/>
      </c>
      <c r="G329" s="64"/>
      <c r="H329" s="64"/>
      <c r="I329" s="64"/>
      <c r="K329" t="str">
        <f t="shared" si="30"/>
        <v/>
      </c>
      <c r="L329" t="str">
        <f t="shared" si="31"/>
        <v/>
      </c>
    </row>
    <row r="330" spans="1:12">
      <c r="A330" s="59" t="str">
        <f>IF(E330="","",VLOOKUP('Opći dio'!$C$3,'Opći dio'!$L$6:$U$135,10,0))</f>
        <v/>
      </c>
      <c r="B330" s="59" t="str">
        <f>IF(E330="","",VLOOKUP('Opći dio'!$C$3,'Opći dio'!$L$6:$U$135,9,0))</f>
        <v/>
      </c>
      <c r="C330" s="60" t="str">
        <f t="shared" si="27"/>
        <v/>
      </c>
      <c r="D330" s="61" t="str">
        <f t="shared" si="28"/>
        <v/>
      </c>
      <c r="E330" s="62"/>
      <c r="F330" s="63" t="str">
        <f t="shared" si="29"/>
        <v/>
      </c>
      <c r="G330" s="64"/>
      <c r="H330" s="64"/>
      <c r="I330" s="64"/>
      <c r="K330" t="str">
        <f t="shared" si="30"/>
        <v/>
      </c>
      <c r="L330" t="str">
        <f t="shared" si="31"/>
        <v/>
      </c>
    </row>
    <row r="331" spans="1:12">
      <c r="A331" s="59" t="str">
        <f>IF(E331="","",VLOOKUP('Opći dio'!$C$3,'Opći dio'!$L$6:$U$135,10,0))</f>
        <v/>
      </c>
      <c r="B331" s="59" t="str">
        <f>IF(E331="","",VLOOKUP('Opći dio'!$C$3,'Opći dio'!$L$6:$U$135,9,0))</f>
        <v/>
      </c>
      <c r="C331" s="60" t="str">
        <f t="shared" si="27"/>
        <v/>
      </c>
      <c r="D331" s="61" t="str">
        <f t="shared" si="28"/>
        <v/>
      </c>
      <c r="E331" s="62"/>
      <c r="F331" s="63" t="str">
        <f t="shared" si="29"/>
        <v/>
      </c>
      <c r="G331" s="64"/>
      <c r="H331" s="64"/>
      <c r="I331" s="64"/>
      <c r="K331" t="str">
        <f t="shared" si="30"/>
        <v/>
      </c>
      <c r="L331" t="str">
        <f t="shared" si="31"/>
        <v/>
      </c>
    </row>
    <row r="332" spans="1:12">
      <c r="A332" s="59" t="str">
        <f>IF(E332="","",VLOOKUP('Opći dio'!$C$3,'Opći dio'!$L$6:$U$135,10,0))</f>
        <v/>
      </c>
      <c r="B332" s="59" t="str">
        <f>IF(E332="","",VLOOKUP('Opći dio'!$C$3,'Opći dio'!$L$6:$U$135,9,0))</f>
        <v/>
      </c>
      <c r="C332" s="60" t="str">
        <f t="shared" si="27"/>
        <v/>
      </c>
      <c r="D332" s="61" t="str">
        <f t="shared" si="28"/>
        <v/>
      </c>
      <c r="E332" s="62"/>
      <c r="F332" s="63" t="str">
        <f t="shared" si="29"/>
        <v/>
      </c>
      <c r="G332" s="64"/>
      <c r="H332" s="64"/>
      <c r="I332" s="64"/>
      <c r="K332" t="str">
        <f t="shared" si="30"/>
        <v/>
      </c>
      <c r="L332" t="str">
        <f t="shared" si="31"/>
        <v/>
      </c>
    </row>
    <row r="333" spans="1:12">
      <c r="A333" s="59" t="str">
        <f>IF(E333="","",VLOOKUP('Opći dio'!$C$3,'Opći dio'!$L$6:$U$135,10,0))</f>
        <v/>
      </c>
      <c r="B333" s="59" t="str">
        <f>IF(E333="","",VLOOKUP('Opći dio'!$C$3,'Opći dio'!$L$6:$U$135,9,0))</f>
        <v/>
      </c>
      <c r="C333" s="60" t="str">
        <f t="shared" si="27"/>
        <v/>
      </c>
      <c r="D333" s="61" t="str">
        <f t="shared" si="28"/>
        <v/>
      </c>
      <c r="E333" s="62"/>
      <c r="F333" s="63" t="str">
        <f t="shared" si="29"/>
        <v/>
      </c>
      <c r="G333" s="64"/>
      <c r="H333" s="64"/>
      <c r="I333" s="64"/>
      <c r="K333" t="str">
        <f t="shared" si="30"/>
        <v/>
      </c>
      <c r="L333" t="str">
        <f t="shared" si="31"/>
        <v/>
      </c>
    </row>
    <row r="334" spans="1:12">
      <c r="A334" s="59" t="str">
        <f>IF(E334="","",VLOOKUP('Opći dio'!$C$3,'Opći dio'!$L$6:$U$135,10,0))</f>
        <v/>
      </c>
      <c r="B334" s="59" t="str">
        <f>IF(E334="","",VLOOKUP('Opći dio'!$C$3,'Opći dio'!$L$6:$U$135,9,0))</f>
        <v/>
      </c>
      <c r="C334" s="60" t="str">
        <f t="shared" si="27"/>
        <v/>
      </c>
      <c r="D334" s="61" t="str">
        <f t="shared" si="28"/>
        <v/>
      </c>
      <c r="E334" s="62"/>
      <c r="F334" s="63" t="str">
        <f t="shared" si="29"/>
        <v/>
      </c>
      <c r="G334" s="64"/>
      <c r="H334" s="64"/>
      <c r="I334" s="64"/>
      <c r="K334" t="str">
        <f t="shared" si="30"/>
        <v/>
      </c>
      <c r="L334" t="str">
        <f t="shared" si="31"/>
        <v/>
      </c>
    </row>
    <row r="335" spans="1:12">
      <c r="A335" s="59" t="str">
        <f>IF(E335="","",VLOOKUP('Opći dio'!$C$3,'Opći dio'!$L$6:$U$135,10,0))</f>
        <v/>
      </c>
      <c r="B335" s="59" t="str">
        <f>IF(E335="","",VLOOKUP('Opći dio'!$C$3,'Opći dio'!$L$6:$U$135,9,0))</f>
        <v/>
      </c>
      <c r="C335" s="60" t="str">
        <f t="shared" si="27"/>
        <v/>
      </c>
      <c r="D335" s="61" t="str">
        <f t="shared" si="28"/>
        <v/>
      </c>
      <c r="E335" s="62"/>
      <c r="F335" s="63" t="str">
        <f t="shared" si="29"/>
        <v/>
      </c>
      <c r="G335" s="64"/>
      <c r="H335" s="64"/>
      <c r="I335" s="64"/>
      <c r="K335" t="str">
        <f t="shared" si="30"/>
        <v/>
      </c>
      <c r="L335" t="str">
        <f t="shared" si="31"/>
        <v/>
      </c>
    </row>
    <row r="336" spans="1:12">
      <c r="A336" s="59" t="str">
        <f>IF(E336="","",VLOOKUP('Opći dio'!$C$3,'Opći dio'!$L$6:$U$135,10,0))</f>
        <v/>
      </c>
      <c r="B336" s="59" t="str">
        <f>IF(E336="","",VLOOKUP('Opći dio'!$C$3,'Opći dio'!$L$6:$U$135,9,0))</f>
        <v/>
      </c>
      <c r="C336" s="60" t="str">
        <f t="shared" si="27"/>
        <v/>
      </c>
      <c r="D336" s="61" t="str">
        <f t="shared" si="28"/>
        <v/>
      </c>
      <c r="E336" s="62"/>
      <c r="F336" s="63" t="str">
        <f t="shared" si="29"/>
        <v/>
      </c>
      <c r="G336" s="64"/>
      <c r="H336" s="64"/>
      <c r="I336" s="64"/>
      <c r="K336" t="str">
        <f t="shared" si="30"/>
        <v/>
      </c>
      <c r="L336" t="str">
        <f t="shared" si="31"/>
        <v/>
      </c>
    </row>
    <row r="337" spans="1:12">
      <c r="A337" s="59" t="str">
        <f>IF(E337="","",VLOOKUP('Opći dio'!$C$3,'Opći dio'!$L$6:$U$135,10,0))</f>
        <v/>
      </c>
      <c r="B337" s="59" t="str">
        <f>IF(E337="","",VLOOKUP('Opći dio'!$C$3,'Opći dio'!$L$6:$U$135,9,0))</f>
        <v/>
      </c>
      <c r="C337" s="60" t="str">
        <f t="shared" si="27"/>
        <v/>
      </c>
      <c r="D337" s="61" t="str">
        <f t="shared" si="28"/>
        <v/>
      </c>
      <c r="E337" s="62"/>
      <c r="F337" s="63" t="str">
        <f t="shared" si="29"/>
        <v/>
      </c>
      <c r="G337" s="64"/>
      <c r="H337" s="64"/>
      <c r="I337" s="64"/>
      <c r="K337" t="str">
        <f t="shared" si="30"/>
        <v/>
      </c>
      <c r="L337" t="str">
        <f t="shared" si="31"/>
        <v/>
      </c>
    </row>
    <row r="338" spans="1:12">
      <c r="A338" s="59" t="str">
        <f>IF(E338="","",VLOOKUP('Opći dio'!$C$3,'Opći dio'!$L$6:$U$135,10,0))</f>
        <v/>
      </c>
      <c r="B338" s="59" t="str">
        <f>IF(E338="","",VLOOKUP('Opći dio'!$C$3,'Opći dio'!$L$6:$U$135,9,0))</f>
        <v/>
      </c>
      <c r="C338" s="60" t="str">
        <f t="shared" si="27"/>
        <v/>
      </c>
      <c r="D338" s="61" t="str">
        <f t="shared" si="28"/>
        <v/>
      </c>
      <c r="E338" s="62"/>
      <c r="F338" s="63" t="str">
        <f t="shared" si="29"/>
        <v/>
      </c>
      <c r="G338" s="64"/>
      <c r="H338" s="64"/>
      <c r="I338" s="64"/>
      <c r="K338" t="str">
        <f t="shared" si="30"/>
        <v/>
      </c>
      <c r="L338" t="str">
        <f t="shared" si="31"/>
        <v/>
      </c>
    </row>
    <row r="339" spans="1:12">
      <c r="A339" s="59" t="str">
        <f>IF(E339="","",VLOOKUP('Opći dio'!$C$3,'Opći dio'!$L$6:$U$135,10,0))</f>
        <v/>
      </c>
      <c r="B339" s="59" t="str">
        <f>IF(E339="","",VLOOKUP('Opći dio'!$C$3,'Opći dio'!$L$6:$U$135,9,0))</f>
        <v/>
      </c>
      <c r="C339" s="60" t="str">
        <f t="shared" si="27"/>
        <v/>
      </c>
      <c r="D339" s="61" t="str">
        <f t="shared" si="28"/>
        <v/>
      </c>
      <c r="E339" s="62"/>
      <c r="F339" s="63" t="str">
        <f t="shared" si="29"/>
        <v/>
      </c>
      <c r="G339" s="64"/>
      <c r="H339" s="64"/>
      <c r="I339" s="64"/>
      <c r="K339" t="str">
        <f t="shared" si="30"/>
        <v/>
      </c>
      <c r="L339" t="str">
        <f t="shared" si="31"/>
        <v/>
      </c>
    </row>
    <row r="340" spans="1:12">
      <c r="A340" s="59" t="str">
        <f>IF(E340="","",VLOOKUP('Opći dio'!$C$3,'Opći dio'!$L$6:$U$135,10,0))</f>
        <v/>
      </c>
      <c r="B340" s="59" t="str">
        <f>IF(E340="","",VLOOKUP('Opći dio'!$C$3,'Opći dio'!$L$6:$U$135,9,0))</f>
        <v/>
      </c>
      <c r="C340" s="60" t="str">
        <f t="shared" si="27"/>
        <v/>
      </c>
      <c r="D340" s="61" t="str">
        <f t="shared" si="28"/>
        <v/>
      </c>
      <c r="E340" s="62"/>
      <c r="F340" s="63" t="str">
        <f t="shared" si="29"/>
        <v/>
      </c>
      <c r="G340" s="64"/>
      <c r="H340" s="64"/>
      <c r="I340" s="64"/>
      <c r="K340" t="str">
        <f t="shared" si="30"/>
        <v/>
      </c>
      <c r="L340" t="str">
        <f t="shared" si="31"/>
        <v/>
      </c>
    </row>
    <row r="341" spans="1:12">
      <c r="A341" s="59" t="str">
        <f>IF(E341="","",VLOOKUP('Opći dio'!$C$3,'Opći dio'!$L$6:$U$135,10,0))</f>
        <v/>
      </c>
      <c r="B341" s="59" t="str">
        <f>IF(E341="","",VLOOKUP('Opći dio'!$C$3,'Opći dio'!$L$6:$U$135,9,0))</f>
        <v/>
      </c>
      <c r="C341" s="60" t="str">
        <f t="shared" si="27"/>
        <v/>
      </c>
      <c r="D341" s="61" t="str">
        <f t="shared" si="28"/>
        <v/>
      </c>
      <c r="E341" s="62"/>
      <c r="F341" s="63" t="str">
        <f t="shared" si="29"/>
        <v/>
      </c>
      <c r="G341" s="64"/>
      <c r="H341" s="64"/>
      <c r="I341" s="64"/>
      <c r="K341" t="str">
        <f t="shared" si="30"/>
        <v/>
      </c>
      <c r="L341" t="str">
        <f t="shared" si="31"/>
        <v/>
      </c>
    </row>
    <row r="342" spans="1:12">
      <c r="A342" s="59" t="str">
        <f>IF(E342="","",VLOOKUP('Opći dio'!$C$3,'Opći dio'!$L$6:$U$135,10,0))</f>
        <v/>
      </c>
      <c r="B342" s="59" t="str">
        <f>IF(E342="","",VLOOKUP('Opći dio'!$C$3,'Opći dio'!$L$6:$U$135,9,0))</f>
        <v/>
      </c>
      <c r="C342" s="60" t="str">
        <f t="shared" si="27"/>
        <v/>
      </c>
      <c r="D342" s="61" t="str">
        <f t="shared" si="28"/>
        <v/>
      </c>
      <c r="E342" s="62"/>
      <c r="F342" s="63" t="str">
        <f t="shared" si="29"/>
        <v/>
      </c>
      <c r="G342" s="64"/>
      <c r="H342" s="64"/>
      <c r="I342" s="64"/>
      <c r="K342" t="str">
        <f t="shared" si="30"/>
        <v/>
      </c>
      <c r="L342" t="str">
        <f t="shared" si="31"/>
        <v/>
      </c>
    </row>
    <row r="343" spans="1:12">
      <c r="A343" s="59" t="str">
        <f>IF(E343="","",VLOOKUP('Opći dio'!$C$3,'Opći dio'!$L$6:$U$135,10,0))</f>
        <v/>
      </c>
      <c r="B343" s="59" t="str">
        <f>IF(E343="","",VLOOKUP('Opći dio'!$C$3,'Opći dio'!$L$6:$U$135,9,0))</f>
        <v/>
      </c>
      <c r="C343" s="60" t="str">
        <f t="shared" si="27"/>
        <v/>
      </c>
      <c r="D343" s="61" t="str">
        <f t="shared" si="28"/>
        <v/>
      </c>
      <c r="E343" s="62"/>
      <c r="F343" s="63" t="str">
        <f t="shared" si="29"/>
        <v/>
      </c>
      <c r="G343" s="64"/>
      <c r="H343" s="64"/>
      <c r="I343" s="64"/>
      <c r="K343" t="str">
        <f t="shared" si="30"/>
        <v/>
      </c>
      <c r="L343" t="str">
        <f t="shared" si="31"/>
        <v/>
      </c>
    </row>
    <row r="344" spans="1:12">
      <c r="A344" s="59" t="str">
        <f>IF(E344="","",VLOOKUP('Opći dio'!$C$3,'Opći dio'!$L$6:$U$135,10,0))</f>
        <v/>
      </c>
      <c r="B344" s="59" t="str">
        <f>IF(E344="","",VLOOKUP('Opći dio'!$C$3,'Opći dio'!$L$6:$U$135,9,0))</f>
        <v/>
      </c>
      <c r="C344" s="60" t="str">
        <f t="shared" si="27"/>
        <v/>
      </c>
      <c r="D344" s="61" t="str">
        <f t="shared" si="28"/>
        <v/>
      </c>
      <c r="E344" s="62"/>
      <c r="F344" s="63" t="str">
        <f t="shared" si="29"/>
        <v/>
      </c>
      <c r="G344" s="64"/>
      <c r="H344" s="64"/>
      <c r="I344" s="64"/>
      <c r="K344" t="str">
        <f t="shared" si="30"/>
        <v/>
      </c>
      <c r="L344" t="str">
        <f t="shared" si="31"/>
        <v/>
      </c>
    </row>
    <row r="345" spans="1:12">
      <c r="A345" s="59" t="str">
        <f>IF(E345="","",VLOOKUP('Opći dio'!$C$3,'Opći dio'!$L$6:$U$135,10,0))</f>
        <v/>
      </c>
      <c r="B345" s="59" t="str">
        <f>IF(E345="","",VLOOKUP('Opći dio'!$C$3,'Opći dio'!$L$6:$U$135,9,0))</f>
        <v/>
      </c>
      <c r="C345" s="60" t="str">
        <f t="shared" si="27"/>
        <v/>
      </c>
      <c r="D345" s="61" t="str">
        <f t="shared" si="28"/>
        <v/>
      </c>
      <c r="E345" s="62"/>
      <c r="F345" s="63" t="str">
        <f t="shared" si="29"/>
        <v/>
      </c>
      <c r="G345" s="64"/>
      <c r="H345" s="64"/>
      <c r="I345" s="64"/>
      <c r="K345" t="str">
        <f t="shared" si="30"/>
        <v/>
      </c>
      <c r="L345" t="str">
        <f t="shared" si="31"/>
        <v/>
      </c>
    </row>
    <row r="346" spans="1:12">
      <c r="A346" s="59" t="str">
        <f>IF(E346="","",VLOOKUP('Opći dio'!$C$3,'Opći dio'!$L$6:$U$135,10,0))</f>
        <v/>
      </c>
      <c r="B346" s="59" t="str">
        <f>IF(E346="","",VLOOKUP('Opći dio'!$C$3,'Opći dio'!$L$6:$U$135,9,0))</f>
        <v/>
      </c>
      <c r="C346" s="60" t="str">
        <f t="shared" si="27"/>
        <v/>
      </c>
      <c r="D346" s="61" t="str">
        <f t="shared" si="28"/>
        <v/>
      </c>
      <c r="E346" s="62"/>
      <c r="F346" s="63" t="str">
        <f t="shared" si="29"/>
        <v/>
      </c>
      <c r="G346" s="64"/>
      <c r="H346" s="64"/>
      <c r="I346" s="64"/>
      <c r="K346" t="str">
        <f t="shared" si="30"/>
        <v/>
      </c>
      <c r="L346" t="str">
        <f t="shared" si="31"/>
        <v/>
      </c>
    </row>
    <row r="347" spans="1:12">
      <c r="A347" s="59" t="str">
        <f>IF(E347="","",VLOOKUP('Opći dio'!$C$3,'Opći dio'!$L$6:$U$135,10,0))</f>
        <v/>
      </c>
      <c r="B347" s="59" t="str">
        <f>IF(E347="","",VLOOKUP('Opći dio'!$C$3,'Opći dio'!$L$6:$U$135,9,0))</f>
        <v/>
      </c>
      <c r="C347" s="60" t="str">
        <f t="shared" si="27"/>
        <v/>
      </c>
      <c r="D347" s="61" t="str">
        <f t="shared" si="28"/>
        <v/>
      </c>
      <c r="E347" s="62"/>
      <c r="F347" s="63" t="str">
        <f t="shared" si="29"/>
        <v/>
      </c>
      <c r="G347" s="64"/>
      <c r="H347" s="64"/>
      <c r="I347" s="64"/>
      <c r="K347" t="str">
        <f t="shared" si="30"/>
        <v/>
      </c>
      <c r="L347" t="str">
        <f t="shared" si="31"/>
        <v/>
      </c>
    </row>
    <row r="348" spans="1:12">
      <c r="A348" s="59" t="str">
        <f>IF(E348="","",VLOOKUP('Opći dio'!$C$3,'Opći dio'!$L$6:$U$135,10,0))</f>
        <v/>
      </c>
      <c r="B348" s="59" t="str">
        <f>IF(E348="","",VLOOKUP('Opći dio'!$C$3,'Opći dio'!$L$6:$U$135,9,0))</f>
        <v/>
      </c>
      <c r="C348" s="60" t="str">
        <f t="shared" si="27"/>
        <v/>
      </c>
      <c r="D348" s="61" t="str">
        <f t="shared" si="28"/>
        <v/>
      </c>
      <c r="E348" s="62"/>
      <c r="F348" s="63" t="str">
        <f t="shared" si="29"/>
        <v/>
      </c>
      <c r="G348" s="64"/>
      <c r="H348" s="64"/>
      <c r="I348" s="64"/>
      <c r="K348" t="str">
        <f t="shared" si="30"/>
        <v/>
      </c>
      <c r="L348" t="str">
        <f t="shared" si="31"/>
        <v/>
      </c>
    </row>
    <row r="349" spans="1:12">
      <c r="A349" s="59" t="str">
        <f>IF(E349="","",VLOOKUP('Opći dio'!$C$3,'Opći dio'!$L$6:$U$135,10,0))</f>
        <v/>
      </c>
      <c r="B349" s="59" t="str">
        <f>IF(E349="","",VLOOKUP('Opći dio'!$C$3,'Opći dio'!$L$6:$U$135,9,0))</f>
        <v/>
      </c>
      <c r="C349" s="60" t="str">
        <f t="shared" si="27"/>
        <v/>
      </c>
      <c r="D349" s="61" t="str">
        <f t="shared" si="28"/>
        <v/>
      </c>
      <c r="E349" s="62"/>
      <c r="F349" s="63" t="str">
        <f t="shared" si="29"/>
        <v/>
      </c>
      <c r="G349" s="64"/>
      <c r="H349" s="64"/>
      <c r="I349" s="64"/>
      <c r="K349" t="str">
        <f t="shared" si="30"/>
        <v/>
      </c>
      <c r="L349" t="str">
        <f t="shared" si="31"/>
        <v/>
      </c>
    </row>
    <row r="350" spans="1:12">
      <c r="A350" s="59" t="str">
        <f>IF(E350="","",VLOOKUP('Opći dio'!$C$3,'Opći dio'!$L$6:$U$135,10,0))</f>
        <v/>
      </c>
      <c r="B350" s="59" t="str">
        <f>IF(E350="","",VLOOKUP('Opći dio'!$C$3,'Opći dio'!$L$6:$U$135,9,0))</f>
        <v/>
      </c>
      <c r="C350" s="60" t="str">
        <f t="shared" si="27"/>
        <v/>
      </c>
      <c r="D350" s="61" t="str">
        <f t="shared" si="28"/>
        <v/>
      </c>
      <c r="E350" s="62"/>
      <c r="F350" s="63" t="str">
        <f t="shared" si="29"/>
        <v/>
      </c>
      <c r="G350" s="64"/>
      <c r="H350" s="64"/>
      <c r="I350" s="64"/>
      <c r="K350" t="str">
        <f t="shared" si="30"/>
        <v/>
      </c>
      <c r="L350" t="str">
        <f t="shared" si="31"/>
        <v/>
      </c>
    </row>
    <row r="351" spans="1:12">
      <c r="A351" s="59" t="str">
        <f>IF(E351="","",VLOOKUP('Opći dio'!$C$3,'Opći dio'!$L$6:$U$135,10,0))</f>
        <v/>
      </c>
      <c r="B351" s="59" t="str">
        <f>IF(E351="","",VLOOKUP('Opći dio'!$C$3,'Opći dio'!$L$6:$U$135,9,0))</f>
        <v/>
      </c>
      <c r="C351" s="60" t="str">
        <f t="shared" si="27"/>
        <v/>
      </c>
      <c r="D351" s="61" t="str">
        <f t="shared" si="28"/>
        <v/>
      </c>
      <c r="E351" s="62"/>
      <c r="F351" s="63" t="str">
        <f t="shared" si="29"/>
        <v/>
      </c>
      <c r="G351" s="64"/>
      <c r="H351" s="64"/>
      <c r="I351" s="64"/>
      <c r="K351" t="str">
        <f t="shared" si="30"/>
        <v/>
      </c>
      <c r="L351" t="str">
        <f t="shared" si="31"/>
        <v/>
      </c>
    </row>
    <row r="352" spans="1:12">
      <c r="A352" s="59" t="str">
        <f>IF(E352="","",VLOOKUP('Opći dio'!$C$3,'Opći dio'!$L$6:$U$135,10,0))</f>
        <v/>
      </c>
      <c r="B352" s="59" t="str">
        <f>IF(E352="","",VLOOKUP('Opći dio'!$C$3,'Opći dio'!$L$6:$U$135,9,0))</f>
        <v/>
      </c>
      <c r="C352" s="60" t="str">
        <f t="shared" si="27"/>
        <v/>
      </c>
      <c r="D352" s="61" t="str">
        <f t="shared" si="28"/>
        <v/>
      </c>
      <c r="E352" s="62"/>
      <c r="F352" s="63" t="str">
        <f t="shared" si="29"/>
        <v/>
      </c>
      <c r="G352" s="64"/>
      <c r="H352" s="64"/>
      <c r="I352" s="64"/>
      <c r="K352" t="str">
        <f t="shared" si="30"/>
        <v/>
      </c>
      <c r="L352" t="str">
        <f t="shared" si="31"/>
        <v/>
      </c>
    </row>
    <row r="353" spans="1:12">
      <c r="A353" s="59" t="str">
        <f>IF(E353="","",VLOOKUP('Opći dio'!$C$3,'Opći dio'!$L$6:$U$135,10,0))</f>
        <v/>
      </c>
      <c r="B353" s="59" t="str">
        <f>IF(E353="","",VLOOKUP('Opći dio'!$C$3,'Opći dio'!$L$6:$U$135,9,0))</f>
        <v/>
      </c>
      <c r="C353" s="60" t="str">
        <f t="shared" si="27"/>
        <v/>
      </c>
      <c r="D353" s="61" t="str">
        <f t="shared" si="28"/>
        <v/>
      </c>
      <c r="E353" s="62"/>
      <c r="F353" s="63" t="str">
        <f t="shared" si="29"/>
        <v/>
      </c>
      <c r="G353" s="64"/>
      <c r="H353" s="64"/>
      <c r="I353" s="64"/>
      <c r="K353" t="str">
        <f t="shared" si="30"/>
        <v/>
      </c>
      <c r="L353" t="str">
        <f t="shared" si="31"/>
        <v/>
      </c>
    </row>
    <row r="354" spans="1:12">
      <c r="A354" s="59" t="str">
        <f>IF(E354="","",VLOOKUP('Opći dio'!$C$3,'Opći dio'!$L$6:$U$135,10,0))</f>
        <v/>
      </c>
      <c r="B354" s="59" t="str">
        <f>IF(E354="","",VLOOKUP('Opći dio'!$C$3,'Opći dio'!$L$6:$U$135,9,0))</f>
        <v/>
      </c>
      <c r="C354" s="60" t="str">
        <f t="shared" si="27"/>
        <v/>
      </c>
      <c r="D354" s="61" t="str">
        <f t="shared" si="28"/>
        <v/>
      </c>
      <c r="E354" s="62"/>
      <c r="F354" s="63" t="str">
        <f t="shared" si="29"/>
        <v/>
      </c>
      <c r="G354" s="64"/>
      <c r="H354" s="64"/>
      <c r="I354" s="64"/>
      <c r="K354" t="str">
        <f t="shared" si="30"/>
        <v/>
      </c>
      <c r="L354" t="str">
        <f t="shared" si="31"/>
        <v/>
      </c>
    </row>
    <row r="355" spans="1:12">
      <c r="A355" s="59" t="str">
        <f>IF(E355="","",VLOOKUP('Opći dio'!$C$3,'Opći dio'!$L$6:$U$135,10,0))</f>
        <v/>
      </c>
      <c r="B355" s="59" t="str">
        <f>IF(E355="","",VLOOKUP('Opći dio'!$C$3,'Opći dio'!$L$6:$U$135,9,0))</f>
        <v/>
      </c>
      <c r="C355" s="60" t="str">
        <f t="shared" si="27"/>
        <v/>
      </c>
      <c r="D355" s="61" t="str">
        <f t="shared" si="28"/>
        <v/>
      </c>
      <c r="E355" s="62"/>
      <c r="F355" s="63" t="str">
        <f t="shared" si="29"/>
        <v/>
      </c>
      <c r="G355" s="64"/>
      <c r="H355" s="64"/>
      <c r="I355" s="64"/>
      <c r="K355" t="str">
        <f t="shared" si="30"/>
        <v/>
      </c>
      <c r="L355" t="str">
        <f t="shared" si="31"/>
        <v/>
      </c>
    </row>
    <row r="356" spans="1:12">
      <c r="A356" s="59" t="str">
        <f>IF(E356="","",VLOOKUP('Opći dio'!$C$3,'Opći dio'!$L$6:$U$135,10,0))</f>
        <v/>
      </c>
      <c r="B356" s="59" t="str">
        <f>IF(E356="","",VLOOKUP('Opći dio'!$C$3,'Opći dio'!$L$6:$U$135,9,0))</f>
        <v/>
      </c>
      <c r="C356" s="60" t="str">
        <f t="shared" si="27"/>
        <v/>
      </c>
      <c r="D356" s="61" t="str">
        <f t="shared" si="28"/>
        <v/>
      </c>
      <c r="E356" s="62"/>
      <c r="F356" s="63" t="str">
        <f t="shared" si="29"/>
        <v/>
      </c>
      <c r="G356" s="64"/>
      <c r="H356" s="64"/>
      <c r="I356" s="64"/>
      <c r="K356" t="str">
        <f t="shared" si="30"/>
        <v/>
      </c>
      <c r="L356" t="str">
        <f t="shared" si="31"/>
        <v/>
      </c>
    </row>
    <row r="357" spans="1:12">
      <c r="A357" s="59" t="str">
        <f>IF(E357="","",VLOOKUP('Opći dio'!$C$3,'Opći dio'!$L$6:$U$135,10,0))</f>
        <v/>
      </c>
      <c r="B357" s="59" t="str">
        <f>IF(E357="","",VLOOKUP('Opći dio'!$C$3,'Opći dio'!$L$6:$U$135,9,0))</f>
        <v/>
      </c>
      <c r="C357" s="60" t="str">
        <f t="shared" si="27"/>
        <v/>
      </c>
      <c r="D357" s="61" t="str">
        <f t="shared" si="28"/>
        <v/>
      </c>
      <c r="E357" s="62"/>
      <c r="F357" s="63" t="str">
        <f t="shared" si="29"/>
        <v/>
      </c>
      <c r="G357" s="64"/>
      <c r="H357" s="64"/>
      <c r="I357" s="64"/>
      <c r="K357" t="str">
        <f t="shared" si="30"/>
        <v/>
      </c>
      <c r="L357" t="str">
        <f t="shared" si="31"/>
        <v/>
      </c>
    </row>
    <row r="358" spans="1:12">
      <c r="A358" s="59" t="str">
        <f>IF(E358="","",VLOOKUP('Opći dio'!$C$3,'Opći dio'!$L$6:$U$135,10,0))</f>
        <v/>
      </c>
      <c r="B358" s="59" t="str">
        <f>IF(E358="","",VLOOKUP('Opći dio'!$C$3,'Opći dio'!$L$6:$U$135,9,0))</f>
        <v/>
      </c>
      <c r="C358" s="60" t="str">
        <f t="shared" si="27"/>
        <v/>
      </c>
      <c r="D358" s="61" t="str">
        <f t="shared" si="28"/>
        <v/>
      </c>
      <c r="E358" s="62"/>
      <c r="F358" s="63" t="str">
        <f t="shared" si="29"/>
        <v/>
      </c>
      <c r="G358" s="64"/>
      <c r="H358" s="64"/>
      <c r="I358" s="64"/>
      <c r="K358" t="str">
        <f t="shared" si="30"/>
        <v/>
      </c>
      <c r="L358" t="str">
        <f t="shared" si="31"/>
        <v/>
      </c>
    </row>
    <row r="359" spans="1:12">
      <c r="A359" s="59" t="str">
        <f>IF(E359="","",VLOOKUP('Opći dio'!$C$3,'Opći dio'!$L$6:$U$135,10,0))</f>
        <v/>
      </c>
      <c r="B359" s="59" t="str">
        <f>IF(E359="","",VLOOKUP('Opći dio'!$C$3,'Opći dio'!$L$6:$U$135,9,0))</f>
        <v/>
      </c>
      <c r="C359" s="60" t="str">
        <f t="shared" si="27"/>
        <v/>
      </c>
      <c r="D359" s="61" t="str">
        <f t="shared" si="28"/>
        <v/>
      </c>
      <c r="E359" s="62"/>
      <c r="F359" s="63" t="str">
        <f t="shared" si="29"/>
        <v/>
      </c>
      <c r="G359" s="64"/>
      <c r="H359" s="64"/>
      <c r="I359" s="64"/>
      <c r="K359" t="str">
        <f t="shared" si="30"/>
        <v/>
      </c>
      <c r="L359" t="str">
        <f t="shared" si="31"/>
        <v/>
      </c>
    </row>
    <row r="360" spans="1:12">
      <c r="A360" s="59" t="str">
        <f>IF(E360="","",VLOOKUP('Opći dio'!$C$3,'Opći dio'!$L$6:$U$135,10,0))</f>
        <v/>
      </c>
      <c r="B360" s="59" t="str">
        <f>IF(E360="","",VLOOKUP('Opći dio'!$C$3,'Opći dio'!$L$6:$U$135,9,0))</f>
        <v/>
      </c>
      <c r="C360" s="60" t="str">
        <f t="shared" si="27"/>
        <v/>
      </c>
      <c r="D360" s="61" t="str">
        <f t="shared" si="28"/>
        <v/>
      </c>
      <c r="E360" s="62"/>
      <c r="F360" s="63" t="str">
        <f t="shared" si="29"/>
        <v/>
      </c>
      <c r="G360" s="64"/>
      <c r="H360" s="64"/>
      <c r="I360" s="64"/>
      <c r="K360" t="str">
        <f t="shared" si="30"/>
        <v/>
      </c>
      <c r="L360" t="str">
        <f t="shared" si="31"/>
        <v/>
      </c>
    </row>
    <row r="361" spans="1:12">
      <c r="A361" s="59" t="str">
        <f>IF(E361="","",VLOOKUP('Opći dio'!$C$3,'Opći dio'!$L$6:$U$135,10,0))</f>
        <v/>
      </c>
      <c r="B361" s="59" t="str">
        <f>IF(E361="","",VLOOKUP('Opći dio'!$C$3,'Opći dio'!$L$6:$U$135,9,0))</f>
        <v/>
      </c>
      <c r="C361" s="60" t="str">
        <f t="shared" si="27"/>
        <v/>
      </c>
      <c r="D361" s="61" t="str">
        <f t="shared" si="28"/>
        <v/>
      </c>
      <c r="E361" s="62"/>
      <c r="F361" s="63" t="str">
        <f t="shared" si="29"/>
        <v/>
      </c>
      <c r="G361" s="64"/>
      <c r="H361" s="64"/>
      <c r="I361" s="64"/>
      <c r="K361" t="str">
        <f t="shared" si="30"/>
        <v/>
      </c>
      <c r="L361" t="str">
        <f t="shared" si="31"/>
        <v/>
      </c>
    </row>
    <row r="362" spans="1:12">
      <c r="A362" s="59" t="str">
        <f>IF(E362="","",VLOOKUP('Opći dio'!$C$3,'Opći dio'!$L$6:$U$135,10,0))</f>
        <v/>
      </c>
      <c r="B362" s="59" t="str">
        <f>IF(E362="","",VLOOKUP('Opći dio'!$C$3,'Opći dio'!$L$6:$U$135,9,0))</f>
        <v/>
      </c>
      <c r="C362" s="60" t="str">
        <f t="shared" si="27"/>
        <v/>
      </c>
      <c r="D362" s="61" t="str">
        <f t="shared" si="28"/>
        <v/>
      </c>
      <c r="E362" s="62"/>
      <c r="F362" s="63" t="str">
        <f t="shared" si="29"/>
        <v/>
      </c>
      <c r="G362" s="64"/>
      <c r="H362" s="64"/>
      <c r="I362" s="64"/>
      <c r="K362" t="str">
        <f t="shared" si="30"/>
        <v/>
      </c>
      <c r="L362" t="str">
        <f t="shared" si="31"/>
        <v/>
      </c>
    </row>
    <row r="363" spans="1:12">
      <c r="A363" s="59" t="str">
        <f>IF(E363="","",VLOOKUP('Opći dio'!$C$3,'Opći dio'!$L$6:$U$135,10,0))</f>
        <v/>
      </c>
      <c r="B363" s="59" t="str">
        <f>IF(E363="","",VLOOKUP('Opći dio'!$C$3,'Opći dio'!$L$6:$U$135,9,0))</f>
        <v/>
      </c>
      <c r="C363" s="60" t="str">
        <f t="shared" si="27"/>
        <v/>
      </c>
      <c r="D363" s="61" t="str">
        <f t="shared" si="28"/>
        <v/>
      </c>
      <c r="E363" s="62"/>
      <c r="F363" s="63" t="str">
        <f t="shared" si="29"/>
        <v/>
      </c>
      <c r="G363" s="64"/>
      <c r="H363" s="64"/>
      <c r="I363" s="64"/>
      <c r="K363" t="str">
        <f t="shared" si="30"/>
        <v/>
      </c>
      <c r="L363" t="str">
        <f t="shared" si="31"/>
        <v/>
      </c>
    </row>
    <row r="364" spans="1:12">
      <c r="A364" s="59" t="str">
        <f>IF(E364="","",VLOOKUP('Opći dio'!$C$3,'Opći dio'!$L$6:$U$135,10,0))</f>
        <v/>
      </c>
      <c r="B364" s="59" t="str">
        <f>IF(E364="","",VLOOKUP('Opći dio'!$C$3,'Opći dio'!$L$6:$U$135,9,0))</f>
        <v/>
      </c>
      <c r="C364" s="60" t="str">
        <f t="shared" si="27"/>
        <v/>
      </c>
      <c r="D364" s="61" t="str">
        <f t="shared" si="28"/>
        <v/>
      </c>
      <c r="E364" s="62"/>
      <c r="F364" s="63" t="str">
        <f t="shared" si="29"/>
        <v/>
      </c>
      <c r="G364" s="64"/>
      <c r="H364" s="64"/>
      <c r="I364" s="64"/>
      <c r="K364" t="str">
        <f t="shared" si="30"/>
        <v/>
      </c>
      <c r="L364" t="str">
        <f t="shared" si="31"/>
        <v/>
      </c>
    </row>
    <row r="365" spans="1:12">
      <c r="A365" s="59" t="str">
        <f>IF(E365="","",VLOOKUP('Opći dio'!$C$3,'Opći dio'!$L$6:$U$135,10,0))</f>
        <v/>
      </c>
      <c r="B365" s="59" t="str">
        <f>IF(E365="","",VLOOKUP('Opći dio'!$C$3,'Opći dio'!$L$6:$U$135,9,0))</f>
        <v/>
      </c>
      <c r="C365" s="60" t="str">
        <f t="shared" si="27"/>
        <v/>
      </c>
      <c r="D365" s="61" t="str">
        <f t="shared" si="28"/>
        <v/>
      </c>
      <c r="E365" s="62"/>
      <c r="F365" s="63" t="str">
        <f t="shared" si="29"/>
        <v/>
      </c>
      <c r="G365" s="64"/>
      <c r="H365" s="64"/>
      <c r="I365" s="64"/>
      <c r="K365" t="str">
        <f t="shared" si="30"/>
        <v/>
      </c>
      <c r="L365" t="str">
        <f t="shared" si="31"/>
        <v/>
      </c>
    </row>
    <row r="366" spans="1:12">
      <c r="A366" s="59" t="str">
        <f>IF(E366="","",VLOOKUP('Opći dio'!$C$3,'Opći dio'!$L$6:$U$135,10,0))</f>
        <v/>
      </c>
      <c r="B366" s="59" t="str">
        <f>IF(E366="","",VLOOKUP('Opći dio'!$C$3,'Opći dio'!$L$6:$U$135,9,0))</f>
        <v/>
      </c>
      <c r="C366" s="60" t="str">
        <f t="shared" si="27"/>
        <v/>
      </c>
      <c r="D366" s="61" t="str">
        <f t="shared" si="28"/>
        <v/>
      </c>
      <c r="E366" s="62"/>
      <c r="F366" s="63" t="str">
        <f t="shared" si="29"/>
        <v/>
      </c>
      <c r="G366" s="64"/>
      <c r="H366" s="64"/>
      <c r="I366" s="64"/>
      <c r="K366" t="str">
        <f t="shared" si="30"/>
        <v/>
      </c>
      <c r="L366" t="str">
        <f t="shared" si="31"/>
        <v/>
      </c>
    </row>
    <row r="367" spans="1:12">
      <c r="A367" s="59" t="str">
        <f>IF(E367="","",VLOOKUP('Opći dio'!$C$3,'Opći dio'!$L$6:$U$135,10,0))</f>
        <v/>
      </c>
      <c r="B367" s="59" t="str">
        <f>IF(E367="","",VLOOKUP('Opći dio'!$C$3,'Opći dio'!$L$6:$U$135,9,0))</f>
        <v/>
      </c>
      <c r="C367" s="60" t="str">
        <f t="shared" si="27"/>
        <v/>
      </c>
      <c r="D367" s="61" t="str">
        <f t="shared" si="28"/>
        <v/>
      </c>
      <c r="E367" s="62"/>
      <c r="F367" s="63" t="str">
        <f t="shared" si="29"/>
        <v/>
      </c>
      <c r="G367" s="64"/>
      <c r="H367" s="64"/>
      <c r="I367" s="64"/>
      <c r="K367" t="str">
        <f t="shared" si="30"/>
        <v/>
      </c>
      <c r="L367" t="str">
        <f t="shared" si="31"/>
        <v/>
      </c>
    </row>
    <row r="368" spans="1:12">
      <c r="A368" s="59" t="str">
        <f>IF(E368="","",VLOOKUP('Opći dio'!$C$3,'Opći dio'!$L$6:$U$135,10,0))</f>
        <v/>
      </c>
      <c r="B368" s="59" t="str">
        <f>IF(E368="","",VLOOKUP('Opći dio'!$C$3,'Opći dio'!$L$6:$U$135,9,0))</f>
        <v/>
      </c>
      <c r="C368" s="60" t="str">
        <f t="shared" si="27"/>
        <v/>
      </c>
      <c r="D368" s="61" t="str">
        <f t="shared" si="28"/>
        <v/>
      </c>
      <c r="E368" s="62"/>
      <c r="F368" s="63" t="str">
        <f t="shared" si="29"/>
        <v/>
      </c>
      <c r="G368" s="64"/>
      <c r="H368" s="64"/>
      <c r="I368" s="64"/>
      <c r="K368" t="str">
        <f t="shared" si="30"/>
        <v/>
      </c>
      <c r="L368" t="str">
        <f t="shared" si="31"/>
        <v/>
      </c>
    </row>
    <row r="369" spans="1:12">
      <c r="A369" s="59" t="str">
        <f>IF(E369="","",VLOOKUP('Opći dio'!$C$3,'Opći dio'!$L$6:$U$135,10,0))</f>
        <v/>
      </c>
      <c r="B369" s="59" t="str">
        <f>IF(E369="","",VLOOKUP('Opći dio'!$C$3,'Opći dio'!$L$6:$U$135,9,0))</f>
        <v/>
      </c>
      <c r="C369" s="60" t="str">
        <f t="shared" si="27"/>
        <v/>
      </c>
      <c r="D369" s="61" t="str">
        <f t="shared" si="28"/>
        <v/>
      </c>
      <c r="E369" s="62"/>
      <c r="F369" s="63" t="str">
        <f t="shared" si="29"/>
        <v/>
      </c>
      <c r="G369" s="64"/>
      <c r="H369" s="64"/>
      <c r="I369" s="64"/>
      <c r="K369" t="str">
        <f t="shared" si="30"/>
        <v/>
      </c>
      <c r="L369" t="str">
        <f t="shared" si="31"/>
        <v/>
      </c>
    </row>
    <row r="370" spans="1:12">
      <c r="A370" s="59" t="str">
        <f>IF(E370="","",VLOOKUP('Opći dio'!$C$3,'Opći dio'!$L$6:$U$135,10,0))</f>
        <v/>
      </c>
      <c r="B370" s="59" t="str">
        <f>IF(E370="","",VLOOKUP('Opći dio'!$C$3,'Opći dio'!$L$6:$U$135,9,0))</f>
        <v/>
      </c>
      <c r="C370" s="60" t="str">
        <f t="shared" si="27"/>
        <v/>
      </c>
      <c r="D370" s="61" t="str">
        <f t="shared" si="28"/>
        <v/>
      </c>
      <c r="E370" s="62"/>
      <c r="F370" s="63" t="str">
        <f t="shared" si="29"/>
        <v/>
      </c>
      <c r="G370" s="64"/>
      <c r="H370" s="64"/>
      <c r="I370" s="64"/>
      <c r="K370" t="str">
        <f t="shared" si="30"/>
        <v/>
      </c>
      <c r="L370" t="str">
        <f t="shared" si="31"/>
        <v/>
      </c>
    </row>
    <row r="371" spans="1:12">
      <c r="A371" s="59" t="str">
        <f>IF(E371="","",VLOOKUP('Opći dio'!$C$3,'Opći dio'!$L$6:$U$135,10,0))</f>
        <v/>
      </c>
      <c r="B371" s="59" t="str">
        <f>IF(E371="","",VLOOKUP('Opći dio'!$C$3,'Opći dio'!$L$6:$U$135,9,0))</f>
        <v/>
      </c>
      <c r="C371" s="60" t="str">
        <f t="shared" si="27"/>
        <v/>
      </c>
      <c r="D371" s="61" t="str">
        <f t="shared" si="28"/>
        <v/>
      </c>
      <c r="E371" s="62"/>
      <c r="F371" s="63" t="str">
        <f t="shared" si="29"/>
        <v/>
      </c>
      <c r="G371" s="64"/>
      <c r="H371" s="64"/>
      <c r="I371" s="64"/>
      <c r="K371" t="str">
        <f t="shared" si="30"/>
        <v/>
      </c>
      <c r="L371" t="str">
        <f t="shared" si="31"/>
        <v/>
      </c>
    </row>
    <row r="372" spans="1:12">
      <c r="A372" s="59" t="str">
        <f>IF(E372="","",VLOOKUP('Opći dio'!$C$3,'Opći dio'!$L$6:$U$135,10,0))</f>
        <v/>
      </c>
      <c r="B372" s="59" t="str">
        <f>IF(E372="","",VLOOKUP('Opći dio'!$C$3,'Opći dio'!$L$6:$U$135,9,0))</f>
        <v/>
      </c>
      <c r="C372" s="60" t="str">
        <f t="shared" si="27"/>
        <v/>
      </c>
      <c r="D372" s="61" t="str">
        <f t="shared" si="28"/>
        <v/>
      </c>
      <c r="E372" s="62"/>
      <c r="F372" s="63" t="str">
        <f t="shared" si="29"/>
        <v/>
      </c>
      <c r="G372" s="64"/>
      <c r="H372" s="64"/>
      <c r="I372" s="64"/>
      <c r="K372" t="str">
        <f t="shared" si="30"/>
        <v/>
      </c>
      <c r="L372" t="str">
        <f t="shared" si="31"/>
        <v/>
      </c>
    </row>
    <row r="373" spans="1:12">
      <c r="A373" s="59" t="str">
        <f>IF(E373="","",VLOOKUP('Opći dio'!$C$3,'Opći dio'!$L$6:$U$135,10,0))</f>
        <v/>
      </c>
      <c r="B373" s="59" t="str">
        <f>IF(E373="","",VLOOKUP('Opći dio'!$C$3,'Opći dio'!$L$6:$U$135,9,0))</f>
        <v/>
      </c>
      <c r="C373" s="60" t="str">
        <f t="shared" si="27"/>
        <v/>
      </c>
      <c r="D373" s="61" t="str">
        <f t="shared" si="28"/>
        <v/>
      </c>
      <c r="E373" s="62"/>
      <c r="F373" s="63" t="str">
        <f t="shared" si="29"/>
        <v/>
      </c>
      <c r="G373" s="64"/>
      <c r="H373" s="64"/>
      <c r="I373" s="64"/>
      <c r="K373" t="str">
        <f t="shared" si="30"/>
        <v/>
      </c>
      <c r="L373" t="str">
        <f t="shared" si="31"/>
        <v/>
      </c>
    </row>
    <row r="374" spans="1:12">
      <c r="A374" s="59" t="str">
        <f>IF(E374="","",VLOOKUP('Opći dio'!$C$3,'Opći dio'!$L$6:$U$135,10,0))</f>
        <v/>
      </c>
      <c r="B374" s="59" t="str">
        <f>IF(E374="","",VLOOKUP('Opći dio'!$C$3,'Opći dio'!$L$6:$U$135,9,0))</f>
        <v/>
      </c>
      <c r="C374" s="60" t="str">
        <f t="shared" si="27"/>
        <v/>
      </c>
      <c r="D374" s="61" t="str">
        <f t="shared" si="28"/>
        <v/>
      </c>
      <c r="E374" s="62"/>
      <c r="F374" s="63" t="str">
        <f t="shared" si="29"/>
        <v/>
      </c>
      <c r="G374" s="64"/>
      <c r="H374" s="64"/>
      <c r="I374" s="64"/>
      <c r="K374" t="str">
        <f t="shared" si="30"/>
        <v/>
      </c>
      <c r="L374" t="str">
        <f t="shared" si="31"/>
        <v/>
      </c>
    </row>
    <row r="375" spans="1:12">
      <c r="A375" s="59" t="str">
        <f>IF(E375="","",VLOOKUP('Opći dio'!$C$3,'Opći dio'!$L$6:$U$135,10,0))</f>
        <v/>
      </c>
      <c r="B375" s="59" t="str">
        <f>IF(E375="","",VLOOKUP('Opći dio'!$C$3,'Opći dio'!$L$6:$U$135,9,0))</f>
        <v/>
      </c>
      <c r="C375" s="60" t="str">
        <f t="shared" si="27"/>
        <v/>
      </c>
      <c r="D375" s="61" t="str">
        <f t="shared" si="28"/>
        <v/>
      </c>
      <c r="E375" s="62"/>
      <c r="F375" s="63" t="str">
        <f t="shared" si="29"/>
        <v/>
      </c>
      <c r="G375" s="64"/>
      <c r="H375" s="64"/>
      <c r="I375" s="64"/>
      <c r="K375" t="str">
        <f t="shared" si="30"/>
        <v/>
      </c>
      <c r="L375" t="str">
        <f t="shared" si="31"/>
        <v/>
      </c>
    </row>
    <row r="376" spans="1:12">
      <c r="A376" s="59" t="str">
        <f>IF(E376="","",VLOOKUP('Opći dio'!$C$3,'Opći dio'!$L$6:$U$135,10,0))</f>
        <v/>
      </c>
      <c r="B376" s="59" t="str">
        <f>IF(E376="","",VLOOKUP('Opći dio'!$C$3,'Opći dio'!$L$6:$U$135,9,0))</f>
        <v/>
      </c>
      <c r="C376" s="60" t="str">
        <f t="shared" si="27"/>
        <v/>
      </c>
      <c r="D376" s="61" t="str">
        <f t="shared" si="28"/>
        <v/>
      </c>
      <c r="E376" s="62"/>
      <c r="F376" s="63" t="str">
        <f t="shared" si="29"/>
        <v/>
      </c>
      <c r="G376" s="64"/>
      <c r="H376" s="64"/>
      <c r="I376" s="64"/>
      <c r="K376" t="str">
        <f t="shared" si="30"/>
        <v/>
      </c>
      <c r="L376" t="str">
        <f t="shared" si="31"/>
        <v/>
      </c>
    </row>
    <row r="377" spans="1:12">
      <c r="A377" s="59" t="str">
        <f>IF(E377="","",VLOOKUP('Opći dio'!$C$3,'Opći dio'!$L$6:$U$135,10,0))</f>
        <v/>
      </c>
      <c r="B377" s="59" t="str">
        <f>IF(E377="","",VLOOKUP('Opći dio'!$C$3,'Opći dio'!$L$6:$U$135,9,0))</f>
        <v/>
      </c>
      <c r="C377" s="60" t="str">
        <f t="shared" si="27"/>
        <v/>
      </c>
      <c r="D377" s="61" t="str">
        <f t="shared" si="28"/>
        <v/>
      </c>
      <c r="E377" s="62"/>
      <c r="F377" s="63" t="str">
        <f t="shared" si="29"/>
        <v/>
      </c>
      <c r="G377" s="64"/>
      <c r="H377" s="64"/>
      <c r="I377" s="64"/>
      <c r="K377" t="str">
        <f t="shared" si="30"/>
        <v/>
      </c>
      <c r="L377" t="str">
        <f t="shared" si="31"/>
        <v/>
      </c>
    </row>
    <row r="378" spans="1:12">
      <c r="A378" s="59" t="str">
        <f>IF(E378="","",VLOOKUP('Opći dio'!$C$3,'Opći dio'!$L$6:$U$135,10,0))</f>
        <v/>
      </c>
      <c r="B378" s="59" t="str">
        <f>IF(E378="","",VLOOKUP('Opći dio'!$C$3,'Opći dio'!$L$6:$U$135,9,0))</f>
        <v/>
      </c>
      <c r="C378" s="60" t="str">
        <f t="shared" si="27"/>
        <v/>
      </c>
      <c r="D378" s="61" t="str">
        <f t="shared" si="28"/>
        <v/>
      </c>
      <c r="E378" s="62"/>
      <c r="F378" s="63" t="str">
        <f t="shared" si="29"/>
        <v/>
      </c>
      <c r="G378" s="64"/>
      <c r="H378" s="64"/>
      <c r="I378" s="64"/>
      <c r="K378" t="str">
        <f t="shared" si="30"/>
        <v/>
      </c>
      <c r="L378" t="str">
        <f t="shared" si="31"/>
        <v/>
      </c>
    </row>
    <row r="379" spans="1:12">
      <c r="A379" s="59" t="str">
        <f>IF(E379="","",VLOOKUP('Opći dio'!$C$3,'Opći dio'!$L$6:$U$135,10,0))</f>
        <v/>
      </c>
      <c r="B379" s="59" t="str">
        <f>IF(E379="","",VLOOKUP('Opći dio'!$C$3,'Opći dio'!$L$6:$U$135,9,0))</f>
        <v/>
      </c>
      <c r="C379" s="60" t="str">
        <f t="shared" si="27"/>
        <v/>
      </c>
      <c r="D379" s="61" t="str">
        <f t="shared" si="28"/>
        <v/>
      </c>
      <c r="E379" s="62"/>
      <c r="F379" s="63" t="str">
        <f t="shared" si="29"/>
        <v/>
      </c>
      <c r="G379" s="64"/>
      <c r="H379" s="64"/>
      <c r="I379" s="64"/>
      <c r="K379" t="str">
        <f t="shared" si="30"/>
        <v/>
      </c>
      <c r="L379" t="str">
        <f t="shared" si="31"/>
        <v/>
      </c>
    </row>
    <row r="380" spans="1:12">
      <c r="A380" s="59" t="str">
        <f>IF(E380="","",VLOOKUP('Opći dio'!$C$3,'Opći dio'!$L$6:$U$135,10,0))</f>
        <v/>
      </c>
      <c r="B380" s="59" t="str">
        <f>IF(E380="","",VLOOKUP('Opći dio'!$C$3,'Opći dio'!$L$6:$U$135,9,0))</f>
        <v/>
      </c>
      <c r="C380" s="60" t="str">
        <f t="shared" si="27"/>
        <v/>
      </c>
      <c r="D380" s="61" t="str">
        <f t="shared" si="28"/>
        <v/>
      </c>
      <c r="E380" s="62"/>
      <c r="F380" s="63" t="str">
        <f t="shared" si="29"/>
        <v/>
      </c>
      <c r="G380" s="64"/>
      <c r="H380" s="64"/>
      <c r="I380" s="64"/>
      <c r="K380" t="str">
        <f t="shared" si="30"/>
        <v/>
      </c>
      <c r="L380" t="str">
        <f t="shared" si="31"/>
        <v/>
      </c>
    </row>
    <row r="381" spans="1:12">
      <c r="A381" s="59" t="str">
        <f>IF(E381="","",VLOOKUP('Opći dio'!$C$3,'Opći dio'!$L$6:$U$135,10,0))</f>
        <v/>
      </c>
      <c r="B381" s="59" t="str">
        <f>IF(E381="","",VLOOKUP('Opći dio'!$C$3,'Opći dio'!$L$6:$U$135,9,0))</f>
        <v/>
      </c>
      <c r="C381" s="60" t="str">
        <f t="shared" si="27"/>
        <v/>
      </c>
      <c r="D381" s="61" t="str">
        <f t="shared" si="28"/>
        <v/>
      </c>
      <c r="E381" s="62"/>
      <c r="F381" s="63" t="str">
        <f t="shared" si="29"/>
        <v/>
      </c>
      <c r="G381" s="64"/>
      <c r="H381" s="64"/>
      <c r="I381" s="64"/>
      <c r="K381" t="str">
        <f t="shared" si="30"/>
        <v/>
      </c>
      <c r="L381" t="str">
        <f t="shared" si="31"/>
        <v/>
      </c>
    </row>
    <row r="382" spans="1:12">
      <c r="A382" s="59" t="str">
        <f>IF(E382="","",VLOOKUP('Opći dio'!$C$3,'Opći dio'!$L$6:$U$135,10,0))</f>
        <v/>
      </c>
      <c r="B382" s="59" t="str">
        <f>IF(E382="","",VLOOKUP('Opći dio'!$C$3,'Opći dio'!$L$6:$U$135,9,0))</f>
        <v/>
      </c>
      <c r="C382" s="60" t="str">
        <f t="shared" si="27"/>
        <v/>
      </c>
      <c r="D382" s="61" t="str">
        <f t="shared" si="28"/>
        <v/>
      </c>
      <c r="E382" s="62"/>
      <c r="F382" s="63" t="str">
        <f t="shared" si="29"/>
        <v/>
      </c>
      <c r="G382" s="64"/>
      <c r="H382" s="64"/>
      <c r="I382" s="64"/>
      <c r="K382" t="str">
        <f t="shared" si="30"/>
        <v/>
      </c>
      <c r="L382" t="str">
        <f t="shared" si="31"/>
        <v/>
      </c>
    </row>
    <row r="383" spans="1:12">
      <c r="A383" s="59" t="str">
        <f>IF(E383="","",VLOOKUP('Opći dio'!$C$3,'Opći dio'!$L$6:$U$135,10,0))</f>
        <v/>
      </c>
      <c r="B383" s="59" t="str">
        <f>IF(E383="","",VLOOKUP('Opći dio'!$C$3,'Opći dio'!$L$6:$U$135,9,0))</f>
        <v/>
      </c>
      <c r="C383" s="60" t="str">
        <f t="shared" si="27"/>
        <v/>
      </c>
      <c r="D383" s="61" t="str">
        <f t="shared" si="28"/>
        <v/>
      </c>
      <c r="E383" s="62"/>
      <c r="F383" s="63" t="str">
        <f t="shared" si="29"/>
        <v/>
      </c>
      <c r="G383" s="64"/>
      <c r="H383" s="64"/>
      <c r="I383" s="64"/>
      <c r="K383" t="str">
        <f t="shared" si="30"/>
        <v/>
      </c>
      <c r="L383" t="str">
        <f t="shared" si="31"/>
        <v/>
      </c>
    </row>
    <row r="384" spans="1:12">
      <c r="A384" s="59" t="str">
        <f>IF(E384="","",VLOOKUP('Opći dio'!$C$3,'Opći dio'!$L$6:$U$135,10,0))</f>
        <v/>
      </c>
      <c r="B384" s="59" t="str">
        <f>IF(E384="","",VLOOKUP('Opći dio'!$C$3,'Opći dio'!$L$6:$U$135,9,0))</f>
        <v/>
      </c>
      <c r="C384" s="60" t="str">
        <f t="shared" si="27"/>
        <v/>
      </c>
      <c r="D384" s="61" t="str">
        <f t="shared" si="28"/>
        <v/>
      </c>
      <c r="E384" s="62"/>
      <c r="F384" s="63" t="str">
        <f t="shared" si="29"/>
        <v/>
      </c>
      <c r="G384" s="64"/>
      <c r="H384" s="64"/>
      <c r="I384" s="64"/>
      <c r="K384" t="str">
        <f t="shared" si="30"/>
        <v/>
      </c>
      <c r="L384" t="str">
        <f t="shared" si="31"/>
        <v/>
      </c>
    </row>
    <row r="385" spans="1:12">
      <c r="A385" s="59" t="str">
        <f>IF(E385="","",VLOOKUP('Opći dio'!$C$3,'Opći dio'!$L$6:$U$135,10,0))</f>
        <v/>
      </c>
      <c r="B385" s="59" t="str">
        <f>IF(E385="","",VLOOKUP('Opći dio'!$C$3,'Opći dio'!$L$6:$U$135,9,0))</f>
        <v/>
      </c>
      <c r="C385" s="60" t="str">
        <f t="shared" si="27"/>
        <v/>
      </c>
      <c r="D385" s="61" t="str">
        <f t="shared" si="28"/>
        <v/>
      </c>
      <c r="E385" s="62"/>
      <c r="F385" s="63" t="str">
        <f t="shared" si="29"/>
        <v/>
      </c>
      <c r="G385" s="64"/>
      <c r="H385" s="64"/>
      <c r="I385" s="64"/>
      <c r="K385" t="str">
        <f t="shared" si="30"/>
        <v/>
      </c>
      <c r="L385" t="str">
        <f t="shared" si="31"/>
        <v/>
      </c>
    </row>
    <row r="386" spans="1:12">
      <c r="A386" s="59" t="str">
        <f>IF(E386="","",VLOOKUP('Opći dio'!$C$3,'Opći dio'!$L$6:$U$135,10,0))</f>
        <v/>
      </c>
      <c r="B386" s="59" t="str">
        <f>IF(E386="","",VLOOKUP('Opći dio'!$C$3,'Opći dio'!$L$6:$U$135,9,0))</f>
        <v/>
      </c>
      <c r="C386" s="60" t="str">
        <f t="shared" si="27"/>
        <v/>
      </c>
      <c r="D386" s="61" t="str">
        <f t="shared" si="28"/>
        <v/>
      </c>
      <c r="E386" s="62"/>
      <c r="F386" s="63" t="str">
        <f t="shared" si="29"/>
        <v/>
      </c>
      <c r="G386" s="64"/>
      <c r="H386" s="64"/>
      <c r="I386" s="64"/>
      <c r="K386" t="str">
        <f t="shared" si="30"/>
        <v/>
      </c>
      <c r="L386" t="str">
        <f t="shared" si="31"/>
        <v/>
      </c>
    </row>
    <row r="387" spans="1:12">
      <c r="A387" s="59" t="str">
        <f>IF(E387="","",VLOOKUP('Opći dio'!$C$3,'Opći dio'!$L$6:$U$135,10,0))</f>
        <v/>
      </c>
      <c r="B387" s="59" t="str">
        <f>IF(E387="","",VLOOKUP('Opći dio'!$C$3,'Opći dio'!$L$6:$U$135,9,0))</f>
        <v/>
      </c>
      <c r="C387" s="60" t="str">
        <f t="shared" ref="C387:C450" si="32">IFERROR(VLOOKUP(E387,$R$6:$U$73,3,0),"")</f>
        <v/>
      </c>
      <c r="D387" s="61" t="str">
        <f t="shared" ref="D387:D450" si="33">IFERROR(VLOOKUP(E387,$R$6:$U$73,4,0),"")</f>
        <v/>
      </c>
      <c r="E387" s="62"/>
      <c r="F387" s="63" t="str">
        <f t="shared" ref="F387:F450" si="34">IFERROR(VLOOKUP(E387,$R$6:$U$73,2,0),"")</f>
        <v/>
      </c>
      <c r="G387" s="64"/>
      <c r="H387" s="64"/>
      <c r="I387" s="64"/>
      <c r="K387" t="str">
        <f t="shared" ref="K387:K450" si="35">LEFT(E387,3)</f>
        <v/>
      </c>
      <c r="L387" t="str">
        <f t="shared" ref="L387:L450" si="36">LEFT(E387,2)</f>
        <v/>
      </c>
    </row>
    <row r="388" spans="1:12">
      <c r="A388" s="59" t="str">
        <f>IF(E388="","",VLOOKUP('Opći dio'!$C$3,'Opći dio'!$L$6:$U$135,10,0))</f>
        <v/>
      </c>
      <c r="B388" s="59" t="str">
        <f>IF(E388="","",VLOOKUP('Opći dio'!$C$3,'Opći dio'!$L$6:$U$135,9,0))</f>
        <v/>
      </c>
      <c r="C388" s="60" t="str">
        <f t="shared" si="32"/>
        <v/>
      </c>
      <c r="D388" s="61" t="str">
        <f t="shared" si="33"/>
        <v/>
      </c>
      <c r="E388" s="62"/>
      <c r="F388" s="63" t="str">
        <f t="shared" si="34"/>
        <v/>
      </c>
      <c r="G388" s="64"/>
      <c r="H388" s="64"/>
      <c r="I388" s="64"/>
      <c r="K388" t="str">
        <f t="shared" si="35"/>
        <v/>
      </c>
      <c r="L388" t="str">
        <f t="shared" si="36"/>
        <v/>
      </c>
    </row>
    <row r="389" spans="1:12">
      <c r="A389" s="59" t="str">
        <f>IF(E389="","",VLOOKUP('Opći dio'!$C$3,'Opći dio'!$L$6:$U$135,10,0))</f>
        <v/>
      </c>
      <c r="B389" s="59" t="str">
        <f>IF(E389="","",VLOOKUP('Opći dio'!$C$3,'Opći dio'!$L$6:$U$135,9,0))</f>
        <v/>
      </c>
      <c r="C389" s="60" t="str">
        <f t="shared" si="32"/>
        <v/>
      </c>
      <c r="D389" s="61" t="str">
        <f t="shared" si="33"/>
        <v/>
      </c>
      <c r="E389" s="62"/>
      <c r="F389" s="63" t="str">
        <f t="shared" si="34"/>
        <v/>
      </c>
      <c r="G389" s="64"/>
      <c r="H389" s="64"/>
      <c r="I389" s="64"/>
      <c r="K389" t="str">
        <f t="shared" si="35"/>
        <v/>
      </c>
      <c r="L389" t="str">
        <f t="shared" si="36"/>
        <v/>
      </c>
    </row>
    <row r="390" spans="1:12">
      <c r="A390" s="59" t="str">
        <f>IF(E390="","",VLOOKUP('Opći dio'!$C$3,'Opći dio'!$L$6:$U$135,10,0))</f>
        <v/>
      </c>
      <c r="B390" s="59" t="str">
        <f>IF(E390="","",VLOOKUP('Opći dio'!$C$3,'Opći dio'!$L$6:$U$135,9,0))</f>
        <v/>
      </c>
      <c r="C390" s="60" t="str">
        <f t="shared" si="32"/>
        <v/>
      </c>
      <c r="D390" s="61" t="str">
        <f t="shared" si="33"/>
        <v/>
      </c>
      <c r="E390" s="62"/>
      <c r="F390" s="63" t="str">
        <f t="shared" si="34"/>
        <v/>
      </c>
      <c r="G390" s="64"/>
      <c r="H390" s="64"/>
      <c r="I390" s="64"/>
      <c r="K390" t="str">
        <f t="shared" si="35"/>
        <v/>
      </c>
      <c r="L390" t="str">
        <f t="shared" si="36"/>
        <v/>
      </c>
    </row>
    <row r="391" spans="1:12">
      <c r="A391" s="59" t="str">
        <f>IF(E391="","",VLOOKUP('Opći dio'!$C$3,'Opći dio'!$L$6:$U$135,10,0))</f>
        <v/>
      </c>
      <c r="B391" s="59" t="str">
        <f>IF(E391="","",VLOOKUP('Opći dio'!$C$3,'Opći dio'!$L$6:$U$135,9,0))</f>
        <v/>
      </c>
      <c r="C391" s="60" t="str">
        <f t="shared" si="32"/>
        <v/>
      </c>
      <c r="D391" s="61" t="str">
        <f t="shared" si="33"/>
        <v/>
      </c>
      <c r="E391" s="62"/>
      <c r="F391" s="63" t="str">
        <f t="shared" si="34"/>
        <v/>
      </c>
      <c r="G391" s="64"/>
      <c r="H391" s="64"/>
      <c r="I391" s="64"/>
      <c r="K391" t="str">
        <f t="shared" si="35"/>
        <v/>
      </c>
      <c r="L391" t="str">
        <f t="shared" si="36"/>
        <v/>
      </c>
    </row>
    <row r="392" spans="1:12">
      <c r="A392" s="59" t="str">
        <f>IF(E392="","",VLOOKUP('Opći dio'!$C$3,'Opći dio'!$L$6:$U$135,10,0))</f>
        <v/>
      </c>
      <c r="B392" s="59" t="str">
        <f>IF(E392="","",VLOOKUP('Opći dio'!$C$3,'Opći dio'!$L$6:$U$135,9,0))</f>
        <v/>
      </c>
      <c r="C392" s="60" t="str">
        <f t="shared" si="32"/>
        <v/>
      </c>
      <c r="D392" s="61" t="str">
        <f t="shared" si="33"/>
        <v/>
      </c>
      <c r="E392" s="62"/>
      <c r="F392" s="63" t="str">
        <f t="shared" si="34"/>
        <v/>
      </c>
      <c r="G392" s="64"/>
      <c r="H392" s="64"/>
      <c r="I392" s="64"/>
      <c r="K392" t="str">
        <f t="shared" si="35"/>
        <v/>
      </c>
      <c r="L392" t="str">
        <f t="shared" si="36"/>
        <v/>
      </c>
    </row>
    <row r="393" spans="1:12">
      <c r="A393" s="59" t="str">
        <f>IF(E393="","",VLOOKUP('Opći dio'!$C$3,'Opći dio'!$L$6:$U$135,10,0))</f>
        <v/>
      </c>
      <c r="B393" s="59" t="str">
        <f>IF(E393="","",VLOOKUP('Opći dio'!$C$3,'Opći dio'!$L$6:$U$135,9,0))</f>
        <v/>
      </c>
      <c r="C393" s="60" t="str">
        <f t="shared" si="32"/>
        <v/>
      </c>
      <c r="D393" s="61" t="str">
        <f t="shared" si="33"/>
        <v/>
      </c>
      <c r="E393" s="62"/>
      <c r="F393" s="63" t="str">
        <f t="shared" si="34"/>
        <v/>
      </c>
      <c r="G393" s="64"/>
      <c r="H393" s="64"/>
      <c r="I393" s="64"/>
      <c r="K393" t="str">
        <f t="shared" si="35"/>
        <v/>
      </c>
      <c r="L393" t="str">
        <f t="shared" si="36"/>
        <v/>
      </c>
    </row>
    <row r="394" spans="1:12">
      <c r="A394" s="59" t="str">
        <f>IF(E394="","",VLOOKUP('Opći dio'!$C$3,'Opći dio'!$L$6:$U$135,10,0))</f>
        <v/>
      </c>
      <c r="B394" s="59" t="str">
        <f>IF(E394="","",VLOOKUP('Opći dio'!$C$3,'Opći dio'!$L$6:$U$135,9,0))</f>
        <v/>
      </c>
      <c r="C394" s="60" t="str">
        <f t="shared" si="32"/>
        <v/>
      </c>
      <c r="D394" s="61" t="str">
        <f t="shared" si="33"/>
        <v/>
      </c>
      <c r="E394" s="62"/>
      <c r="F394" s="63" t="str">
        <f t="shared" si="34"/>
        <v/>
      </c>
      <c r="G394" s="64"/>
      <c r="H394" s="64"/>
      <c r="I394" s="64"/>
      <c r="K394" t="str">
        <f t="shared" si="35"/>
        <v/>
      </c>
      <c r="L394" t="str">
        <f t="shared" si="36"/>
        <v/>
      </c>
    </row>
    <row r="395" spans="1:12">
      <c r="A395" s="59" t="str">
        <f>IF(E395="","",VLOOKUP('Opći dio'!$C$3,'Opći dio'!$L$6:$U$135,10,0))</f>
        <v/>
      </c>
      <c r="B395" s="59" t="str">
        <f>IF(E395="","",VLOOKUP('Opći dio'!$C$3,'Opći dio'!$L$6:$U$135,9,0))</f>
        <v/>
      </c>
      <c r="C395" s="60" t="str">
        <f t="shared" si="32"/>
        <v/>
      </c>
      <c r="D395" s="61" t="str">
        <f t="shared" si="33"/>
        <v/>
      </c>
      <c r="E395" s="62"/>
      <c r="F395" s="63" t="str">
        <f t="shared" si="34"/>
        <v/>
      </c>
      <c r="G395" s="64"/>
      <c r="H395" s="64"/>
      <c r="I395" s="64"/>
      <c r="K395" t="str">
        <f t="shared" si="35"/>
        <v/>
      </c>
      <c r="L395" t="str">
        <f t="shared" si="36"/>
        <v/>
      </c>
    </row>
    <row r="396" spans="1:12">
      <c r="A396" s="59" t="str">
        <f>IF(E396="","",VLOOKUP('Opći dio'!$C$3,'Opći dio'!$L$6:$U$135,10,0))</f>
        <v/>
      </c>
      <c r="B396" s="59" t="str">
        <f>IF(E396="","",VLOOKUP('Opći dio'!$C$3,'Opći dio'!$L$6:$U$135,9,0))</f>
        <v/>
      </c>
      <c r="C396" s="60" t="str">
        <f t="shared" si="32"/>
        <v/>
      </c>
      <c r="D396" s="61" t="str">
        <f t="shared" si="33"/>
        <v/>
      </c>
      <c r="E396" s="62"/>
      <c r="F396" s="63" t="str">
        <f t="shared" si="34"/>
        <v/>
      </c>
      <c r="G396" s="64"/>
      <c r="H396" s="64"/>
      <c r="I396" s="64"/>
      <c r="K396" t="str">
        <f t="shared" si="35"/>
        <v/>
      </c>
      <c r="L396" t="str">
        <f t="shared" si="36"/>
        <v/>
      </c>
    </row>
    <row r="397" spans="1:12">
      <c r="A397" s="59" t="str">
        <f>IF(E397="","",VLOOKUP('Opći dio'!$C$3,'Opći dio'!$L$6:$U$135,10,0))</f>
        <v/>
      </c>
      <c r="B397" s="59" t="str">
        <f>IF(E397="","",VLOOKUP('Opći dio'!$C$3,'Opći dio'!$L$6:$U$135,9,0))</f>
        <v/>
      </c>
      <c r="C397" s="60" t="str">
        <f t="shared" si="32"/>
        <v/>
      </c>
      <c r="D397" s="61" t="str">
        <f t="shared" si="33"/>
        <v/>
      </c>
      <c r="E397" s="62"/>
      <c r="F397" s="63" t="str">
        <f t="shared" si="34"/>
        <v/>
      </c>
      <c r="G397" s="64"/>
      <c r="H397" s="64"/>
      <c r="I397" s="64"/>
      <c r="K397" t="str">
        <f t="shared" si="35"/>
        <v/>
      </c>
      <c r="L397" t="str">
        <f t="shared" si="36"/>
        <v/>
      </c>
    </row>
    <row r="398" spans="1:12">
      <c r="A398" s="59" t="str">
        <f>IF(E398="","",VLOOKUP('Opći dio'!$C$3,'Opći dio'!$L$6:$U$135,10,0))</f>
        <v/>
      </c>
      <c r="B398" s="59" t="str">
        <f>IF(E398="","",VLOOKUP('Opći dio'!$C$3,'Opći dio'!$L$6:$U$135,9,0))</f>
        <v/>
      </c>
      <c r="C398" s="60" t="str">
        <f t="shared" si="32"/>
        <v/>
      </c>
      <c r="D398" s="61" t="str">
        <f t="shared" si="33"/>
        <v/>
      </c>
      <c r="E398" s="62"/>
      <c r="F398" s="63" t="str">
        <f t="shared" si="34"/>
        <v/>
      </c>
      <c r="G398" s="64"/>
      <c r="H398" s="64"/>
      <c r="I398" s="64"/>
      <c r="K398" t="str">
        <f t="shared" si="35"/>
        <v/>
      </c>
      <c r="L398" t="str">
        <f t="shared" si="36"/>
        <v/>
      </c>
    </row>
    <row r="399" spans="1:12">
      <c r="A399" s="59" t="str">
        <f>IF(E399="","",VLOOKUP('Opći dio'!$C$3,'Opći dio'!$L$6:$U$135,10,0))</f>
        <v/>
      </c>
      <c r="B399" s="59" t="str">
        <f>IF(E399="","",VLOOKUP('Opći dio'!$C$3,'Opći dio'!$L$6:$U$135,9,0))</f>
        <v/>
      </c>
      <c r="C399" s="60" t="str">
        <f t="shared" si="32"/>
        <v/>
      </c>
      <c r="D399" s="61" t="str">
        <f t="shared" si="33"/>
        <v/>
      </c>
      <c r="E399" s="62"/>
      <c r="F399" s="63" t="str">
        <f t="shared" si="34"/>
        <v/>
      </c>
      <c r="G399" s="64"/>
      <c r="H399" s="64"/>
      <c r="I399" s="64"/>
      <c r="K399" t="str">
        <f t="shared" si="35"/>
        <v/>
      </c>
      <c r="L399" t="str">
        <f t="shared" si="36"/>
        <v/>
      </c>
    </row>
    <row r="400" spans="1:12">
      <c r="A400" s="59" t="str">
        <f>IF(E400="","",VLOOKUP('Opći dio'!$C$3,'Opći dio'!$L$6:$U$135,10,0))</f>
        <v/>
      </c>
      <c r="B400" s="59" t="str">
        <f>IF(E400="","",VLOOKUP('Opći dio'!$C$3,'Opći dio'!$L$6:$U$135,9,0))</f>
        <v/>
      </c>
      <c r="C400" s="60" t="str">
        <f t="shared" si="32"/>
        <v/>
      </c>
      <c r="D400" s="61" t="str">
        <f t="shared" si="33"/>
        <v/>
      </c>
      <c r="E400" s="62"/>
      <c r="F400" s="63" t="str">
        <f t="shared" si="34"/>
        <v/>
      </c>
      <c r="G400" s="64"/>
      <c r="H400" s="64"/>
      <c r="I400" s="64"/>
      <c r="K400" t="str">
        <f t="shared" si="35"/>
        <v/>
      </c>
      <c r="L400" t="str">
        <f t="shared" si="36"/>
        <v/>
      </c>
    </row>
    <row r="401" spans="1:12">
      <c r="A401" s="59" t="str">
        <f>IF(E401="","",VLOOKUP('Opći dio'!$C$3,'Opći dio'!$L$6:$U$135,10,0))</f>
        <v/>
      </c>
      <c r="B401" s="59" t="str">
        <f>IF(E401="","",VLOOKUP('Opći dio'!$C$3,'Opći dio'!$L$6:$U$135,9,0))</f>
        <v/>
      </c>
      <c r="C401" s="60" t="str">
        <f t="shared" si="32"/>
        <v/>
      </c>
      <c r="D401" s="61" t="str">
        <f t="shared" si="33"/>
        <v/>
      </c>
      <c r="E401" s="62"/>
      <c r="F401" s="63" t="str">
        <f t="shared" si="34"/>
        <v/>
      </c>
      <c r="G401" s="64"/>
      <c r="H401" s="64"/>
      <c r="I401" s="64"/>
      <c r="K401" t="str">
        <f t="shared" si="35"/>
        <v/>
      </c>
      <c r="L401" t="str">
        <f t="shared" si="36"/>
        <v/>
      </c>
    </row>
    <row r="402" spans="1:12">
      <c r="A402" s="59" t="str">
        <f>IF(E402="","",VLOOKUP('Opći dio'!$C$3,'Opći dio'!$L$6:$U$135,10,0))</f>
        <v/>
      </c>
      <c r="B402" s="59" t="str">
        <f>IF(E402="","",VLOOKUP('Opći dio'!$C$3,'Opći dio'!$L$6:$U$135,9,0))</f>
        <v/>
      </c>
      <c r="C402" s="60" t="str">
        <f t="shared" si="32"/>
        <v/>
      </c>
      <c r="D402" s="61" t="str">
        <f t="shared" si="33"/>
        <v/>
      </c>
      <c r="E402" s="62"/>
      <c r="F402" s="63" t="str">
        <f t="shared" si="34"/>
        <v/>
      </c>
      <c r="G402" s="64"/>
      <c r="H402" s="64"/>
      <c r="I402" s="64"/>
      <c r="K402" t="str">
        <f t="shared" si="35"/>
        <v/>
      </c>
      <c r="L402" t="str">
        <f t="shared" si="36"/>
        <v/>
      </c>
    </row>
    <row r="403" spans="1:12">
      <c r="A403" s="59" t="str">
        <f>IF(E403="","",VLOOKUP('Opći dio'!$C$3,'Opći dio'!$L$6:$U$135,10,0))</f>
        <v/>
      </c>
      <c r="B403" s="59" t="str">
        <f>IF(E403="","",VLOOKUP('Opći dio'!$C$3,'Opći dio'!$L$6:$U$135,9,0))</f>
        <v/>
      </c>
      <c r="C403" s="60" t="str">
        <f t="shared" si="32"/>
        <v/>
      </c>
      <c r="D403" s="61" t="str">
        <f t="shared" si="33"/>
        <v/>
      </c>
      <c r="E403" s="62"/>
      <c r="F403" s="63" t="str">
        <f t="shared" si="34"/>
        <v/>
      </c>
      <c r="G403" s="64"/>
      <c r="H403" s="64"/>
      <c r="I403" s="64"/>
      <c r="K403" t="str">
        <f t="shared" si="35"/>
        <v/>
      </c>
      <c r="L403" t="str">
        <f t="shared" si="36"/>
        <v/>
      </c>
    </row>
    <row r="404" spans="1:12">
      <c r="A404" s="59" t="str">
        <f>IF(E404="","",VLOOKUP('Opći dio'!$C$3,'Opći dio'!$L$6:$U$135,10,0))</f>
        <v/>
      </c>
      <c r="B404" s="59" t="str">
        <f>IF(E404="","",VLOOKUP('Opći dio'!$C$3,'Opći dio'!$L$6:$U$135,9,0))</f>
        <v/>
      </c>
      <c r="C404" s="60" t="str">
        <f t="shared" si="32"/>
        <v/>
      </c>
      <c r="D404" s="61" t="str">
        <f t="shared" si="33"/>
        <v/>
      </c>
      <c r="E404" s="62"/>
      <c r="F404" s="63" t="str">
        <f t="shared" si="34"/>
        <v/>
      </c>
      <c r="G404" s="64"/>
      <c r="H404" s="64"/>
      <c r="I404" s="64"/>
      <c r="K404" t="str">
        <f t="shared" si="35"/>
        <v/>
      </c>
      <c r="L404" t="str">
        <f t="shared" si="36"/>
        <v/>
      </c>
    </row>
    <row r="405" spans="1:12">
      <c r="A405" s="59" t="str">
        <f>IF(E405="","",VLOOKUP('Opći dio'!$C$3,'Opći dio'!$L$6:$U$135,10,0))</f>
        <v/>
      </c>
      <c r="B405" s="59" t="str">
        <f>IF(E405="","",VLOOKUP('Opći dio'!$C$3,'Opći dio'!$L$6:$U$135,9,0))</f>
        <v/>
      </c>
      <c r="C405" s="60" t="str">
        <f t="shared" si="32"/>
        <v/>
      </c>
      <c r="D405" s="61" t="str">
        <f t="shared" si="33"/>
        <v/>
      </c>
      <c r="E405" s="62"/>
      <c r="F405" s="63" t="str">
        <f t="shared" si="34"/>
        <v/>
      </c>
      <c r="G405" s="64"/>
      <c r="H405" s="64"/>
      <c r="I405" s="64"/>
      <c r="K405" t="str">
        <f t="shared" si="35"/>
        <v/>
      </c>
      <c r="L405" t="str">
        <f t="shared" si="36"/>
        <v/>
      </c>
    </row>
    <row r="406" spans="1:12">
      <c r="A406" s="59" t="str">
        <f>IF(E406="","",VLOOKUP('Opći dio'!$C$3,'Opći dio'!$L$6:$U$135,10,0))</f>
        <v/>
      </c>
      <c r="B406" s="59" t="str">
        <f>IF(E406="","",VLOOKUP('Opći dio'!$C$3,'Opći dio'!$L$6:$U$135,9,0))</f>
        <v/>
      </c>
      <c r="C406" s="60" t="str">
        <f t="shared" si="32"/>
        <v/>
      </c>
      <c r="D406" s="61" t="str">
        <f t="shared" si="33"/>
        <v/>
      </c>
      <c r="E406" s="62"/>
      <c r="F406" s="63" t="str">
        <f t="shared" si="34"/>
        <v/>
      </c>
      <c r="G406" s="64"/>
      <c r="H406" s="64"/>
      <c r="I406" s="64"/>
      <c r="K406" t="str">
        <f t="shared" si="35"/>
        <v/>
      </c>
      <c r="L406" t="str">
        <f t="shared" si="36"/>
        <v/>
      </c>
    </row>
    <row r="407" spans="1:12">
      <c r="A407" s="59" t="str">
        <f>IF(E407="","",VLOOKUP('Opći dio'!$C$3,'Opći dio'!$L$6:$U$135,10,0))</f>
        <v/>
      </c>
      <c r="B407" s="59" t="str">
        <f>IF(E407="","",VLOOKUP('Opći dio'!$C$3,'Opći dio'!$L$6:$U$135,9,0))</f>
        <v/>
      </c>
      <c r="C407" s="60" t="str">
        <f t="shared" si="32"/>
        <v/>
      </c>
      <c r="D407" s="61" t="str">
        <f t="shared" si="33"/>
        <v/>
      </c>
      <c r="E407" s="62"/>
      <c r="F407" s="63" t="str">
        <f t="shared" si="34"/>
        <v/>
      </c>
      <c r="G407" s="64"/>
      <c r="H407" s="64"/>
      <c r="I407" s="64"/>
      <c r="K407" t="str">
        <f t="shared" si="35"/>
        <v/>
      </c>
      <c r="L407" t="str">
        <f t="shared" si="36"/>
        <v/>
      </c>
    </row>
    <row r="408" spans="1:12">
      <c r="A408" s="59" t="str">
        <f>IF(E408="","",VLOOKUP('Opći dio'!$C$3,'Opći dio'!$L$6:$U$135,10,0))</f>
        <v/>
      </c>
      <c r="B408" s="59" t="str">
        <f>IF(E408="","",VLOOKUP('Opći dio'!$C$3,'Opći dio'!$L$6:$U$135,9,0))</f>
        <v/>
      </c>
      <c r="C408" s="60" t="str">
        <f t="shared" si="32"/>
        <v/>
      </c>
      <c r="D408" s="61" t="str">
        <f t="shared" si="33"/>
        <v/>
      </c>
      <c r="E408" s="62"/>
      <c r="F408" s="63" t="str">
        <f t="shared" si="34"/>
        <v/>
      </c>
      <c r="G408" s="64"/>
      <c r="H408" s="64"/>
      <c r="I408" s="64"/>
      <c r="K408" t="str">
        <f t="shared" si="35"/>
        <v/>
      </c>
      <c r="L408" t="str">
        <f t="shared" si="36"/>
        <v/>
      </c>
    </row>
    <row r="409" spans="1:12">
      <c r="A409" s="59" t="str">
        <f>IF(E409="","",VLOOKUP('Opći dio'!$C$3,'Opći dio'!$L$6:$U$135,10,0))</f>
        <v/>
      </c>
      <c r="B409" s="59" t="str">
        <f>IF(E409="","",VLOOKUP('Opći dio'!$C$3,'Opći dio'!$L$6:$U$135,9,0))</f>
        <v/>
      </c>
      <c r="C409" s="60" t="str">
        <f t="shared" si="32"/>
        <v/>
      </c>
      <c r="D409" s="61" t="str">
        <f t="shared" si="33"/>
        <v/>
      </c>
      <c r="E409" s="62"/>
      <c r="F409" s="63" t="str">
        <f t="shared" si="34"/>
        <v/>
      </c>
      <c r="G409" s="64"/>
      <c r="H409" s="64"/>
      <c r="I409" s="64"/>
      <c r="K409" t="str">
        <f t="shared" si="35"/>
        <v/>
      </c>
      <c r="L409" t="str">
        <f t="shared" si="36"/>
        <v/>
      </c>
    </row>
    <row r="410" spans="1:12">
      <c r="A410" s="59" t="str">
        <f>IF(E410="","",VLOOKUP('Opći dio'!$C$3,'Opći dio'!$L$6:$U$135,10,0))</f>
        <v/>
      </c>
      <c r="B410" s="59" t="str">
        <f>IF(E410="","",VLOOKUP('Opći dio'!$C$3,'Opći dio'!$L$6:$U$135,9,0))</f>
        <v/>
      </c>
      <c r="C410" s="60" t="str">
        <f t="shared" si="32"/>
        <v/>
      </c>
      <c r="D410" s="61" t="str">
        <f t="shared" si="33"/>
        <v/>
      </c>
      <c r="E410" s="62"/>
      <c r="F410" s="63" t="str">
        <f t="shared" si="34"/>
        <v/>
      </c>
      <c r="G410" s="64"/>
      <c r="H410" s="64"/>
      <c r="I410" s="64"/>
      <c r="K410" t="str">
        <f t="shared" si="35"/>
        <v/>
      </c>
      <c r="L410" t="str">
        <f t="shared" si="36"/>
        <v/>
      </c>
    </row>
    <row r="411" spans="1:12">
      <c r="A411" s="59" t="str">
        <f>IF(E411="","",VLOOKUP('Opći dio'!$C$3,'Opći dio'!$L$6:$U$135,10,0))</f>
        <v/>
      </c>
      <c r="B411" s="59" t="str">
        <f>IF(E411="","",VLOOKUP('Opći dio'!$C$3,'Opći dio'!$L$6:$U$135,9,0))</f>
        <v/>
      </c>
      <c r="C411" s="60" t="str">
        <f t="shared" si="32"/>
        <v/>
      </c>
      <c r="D411" s="61" t="str">
        <f t="shared" si="33"/>
        <v/>
      </c>
      <c r="E411" s="62"/>
      <c r="F411" s="63" t="str">
        <f t="shared" si="34"/>
        <v/>
      </c>
      <c r="G411" s="64"/>
      <c r="H411" s="64"/>
      <c r="I411" s="64"/>
      <c r="K411" t="str">
        <f t="shared" si="35"/>
        <v/>
      </c>
      <c r="L411" t="str">
        <f t="shared" si="36"/>
        <v/>
      </c>
    </row>
    <row r="412" spans="1:12">
      <c r="A412" s="59" t="str">
        <f>IF(E412="","",VLOOKUP('Opći dio'!$C$3,'Opći dio'!$L$6:$U$135,10,0))</f>
        <v/>
      </c>
      <c r="B412" s="59" t="str">
        <f>IF(E412="","",VLOOKUP('Opći dio'!$C$3,'Opći dio'!$L$6:$U$135,9,0))</f>
        <v/>
      </c>
      <c r="C412" s="60" t="str">
        <f t="shared" si="32"/>
        <v/>
      </c>
      <c r="D412" s="61" t="str">
        <f t="shared" si="33"/>
        <v/>
      </c>
      <c r="E412" s="62"/>
      <c r="F412" s="63" t="str">
        <f t="shared" si="34"/>
        <v/>
      </c>
      <c r="G412" s="64"/>
      <c r="H412" s="64"/>
      <c r="I412" s="64"/>
      <c r="K412" t="str">
        <f t="shared" si="35"/>
        <v/>
      </c>
      <c r="L412" t="str">
        <f t="shared" si="36"/>
        <v/>
      </c>
    </row>
    <row r="413" spans="1:12">
      <c r="A413" s="59" t="str">
        <f>IF(E413="","",VLOOKUP('Opći dio'!$C$3,'Opći dio'!$L$6:$U$135,10,0))</f>
        <v/>
      </c>
      <c r="B413" s="59" t="str">
        <f>IF(E413="","",VLOOKUP('Opći dio'!$C$3,'Opći dio'!$L$6:$U$135,9,0))</f>
        <v/>
      </c>
      <c r="C413" s="60" t="str">
        <f t="shared" si="32"/>
        <v/>
      </c>
      <c r="D413" s="61" t="str">
        <f t="shared" si="33"/>
        <v/>
      </c>
      <c r="E413" s="62"/>
      <c r="F413" s="63" t="str">
        <f t="shared" si="34"/>
        <v/>
      </c>
      <c r="G413" s="64"/>
      <c r="H413" s="64"/>
      <c r="I413" s="64"/>
      <c r="K413" t="str">
        <f t="shared" si="35"/>
        <v/>
      </c>
      <c r="L413" t="str">
        <f t="shared" si="36"/>
        <v/>
      </c>
    </row>
    <row r="414" spans="1:12">
      <c r="A414" s="59" t="str">
        <f>IF(E414="","",VLOOKUP('Opći dio'!$C$3,'Opći dio'!$L$6:$U$135,10,0))</f>
        <v/>
      </c>
      <c r="B414" s="59" t="str">
        <f>IF(E414="","",VLOOKUP('Opći dio'!$C$3,'Opći dio'!$L$6:$U$135,9,0))</f>
        <v/>
      </c>
      <c r="C414" s="60" t="str">
        <f t="shared" si="32"/>
        <v/>
      </c>
      <c r="D414" s="61" t="str">
        <f t="shared" si="33"/>
        <v/>
      </c>
      <c r="E414" s="62"/>
      <c r="F414" s="63" t="str">
        <f t="shared" si="34"/>
        <v/>
      </c>
      <c r="G414" s="64"/>
      <c r="H414" s="64"/>
      <c r="I414" s="64"/>
      <c r="K414" t="str">
        <f t="shared" si="35"/>
        <v/>
      </c>
      <c r="L414" t="str">
        <f t="shared" si="36"/>
        <v/>
      </c>
    </row>
    <row r="415" spans="1:12">
      <c r="A415" s="59" t="str">
        <f>IF(E415="","",VLOOKUP('Opći dio'!$C$3,'Opći dio'!$L$6:$U$135,10,0))</f>
        <v/>
      </c>
      <c r="B415" s="59" t="str">
        <f>IF(E415="","",VLOOKUP('Opći dio'!$C$3,'Opći dio'!$L$6:$U$135,9,0))</f>
        <v/>
      </c>
      <c r="C415" s="60" t="str">
        <f t="shared" si="32"/>
        <v/>
      </c>
      <c r="D415" s="61" t="str">
        <f t="shared" si="33"/>
        <v/>
      </c>
      <c r="E415" s="62"/>
      <c r="F415" s="63" t="str">
        <f t="shared" si="34"/>
        <v/>
      </c>
      <c r="G415" s="64"/>
      <c r="H415" s="64"/>
      <c r="I415" s="64"/>
      <c r="K415" t="str">
        <f t="shared" si="35"/>
        <v/>
      </c>
      <c r="L415" t="str">
        <f t="shared" si="36"/>
        <v/>
      </c>
    </row>
    <row r="416" spans="1:12">
      <c r="A416" s="59" t="str">
        <f>IF(E416="","",VLOOKUP('Opći dio'!$C$3,'Opći dio'!$L$6:$U$135,10,0))</f>
        <v/>
      </c>
      <c r="B416" s="59" t="str">
        <f>IF(E416="","",VLOOKUP('Opći dio'!$C$3,'Opći dio'!$L$6:$U$135,9,0))</f>
        <v/>
      </c>
      <c r="C416" s="60" t="str">
        <f t="shared" si="32"/>
        <v/>
      </c>
      <c r="D416" s="61" t="str">
        <f t="shared" si="33"/>
        <v/>
      </c>
      <c r="E416" s="62"/>
      <c r="F416" s="63" t="str">
        <f t="shared" si="34"/>
        <v/>
      </c>
      <c r="G416" s="64"/>
      <c r="H416" s="64"/>
      <c r="I416" s="64"/>
      <c r="K416" t="str">
        <f t="shared" si="35"/>
        <v/>
      </c>
      <c r="L416" t="str">
        <f t="shared" si="36"/>
        <v/>
      </c>
    </row>
    <row r="417" spans="1:12">
      <c r="A417" s="59" t="str">
        <f>IF(E417="","",VLOOKUP('Opći dio'!$C$3,'Opći dio'!$L$6:$U$135,10,0))</f>
        <v/>
      </c>
      <c r="B417" s="59" t="str">
        <f>IF(E417="","",VLOOKUP('Opći dio'!$C$3,'Opći dio'!$L$6:$U$135,9,0))</f>
        <v/>
      </c>
      <c r="C417" s="60" t="str">
        <f t="shared" si="32"/>
        <v/>
      </c>
      <c r="D417" s="61" t="str">
        <f t="shared" si="33"/>
        <v/>
      </c>
      <c r="E417" s="62"/>
      <c r="F417" s="63" t="str">
        <f t="shared" si="34"/>
        <v/>
      </c>
      <c r="G417" s="64"/>
      <c r="H417" s="64"/>
      <c r="I417" s="64"/>
      <c r="K417" t="str">
        <f t="shared" si="35"/>
        <v/>
      </c>
      <c r="L417" t="str">
        <f t="shared" si="36"/>
        <v/>
      </c>
    </row>
    <row r="418" spans="1:12">
      <c r="A418" s="59" t="str">
        <f>IF(E418="","",VLOOKUP('Opći dio'!$C$3,'Opći dio'!$L$6:$U$135,10,0))</f>
        <v/>
      </c>
      <c r="B418" s="59" t="str">
        <f>IF(E418="","",VLOOKUP('Opći dio'!$C$3,'Opći dio'!$L$6:$U$135,9,0))</f>
        <v/>
      </c>
      <c r="C418" s="60" t="str">
        <f t="shared" si="32"/>
        <v/>
      </c>
      <c r="D418" s="61" t="str">
        <f t="shared" si="33"/>
        <v/>
      </c>
      <c r="E418" s="62"/>
      <c r="F418" s="63" t="str">
        <f t="shared" si="34"/>
        <v/>
      </c>
      <c r="G418" s="64"/>
      <c r="H418" s="64"/>
      <c r="I418" s="64"/>
      <c r="K418" t="str">
        <f t="shared" si="35"/>
        <v/>
      </c>
      <c r="L418" t="str">
        <f t="shared" si="36"/>
        <v/>
      </c>
    </row>
    <row r="419" spans="1:12">
      <c r="A419" s="59" t="str">
        <f>IF(E419="","",VLOOKUP('Opći dio'!$C$3,'Opći dio'!$L$6:$U$135,10,0))</f>
        <v/>
      </c>
      <c r="B419" s="59" t="str">
        <f>IF(E419="","",VLOOKUP('Opći dio'!$C$3,'Opći dio'!$L$6:$U$135,9,0))</f>
        <v/>
      </c>
      <c r="C419" s="60" t="str">
        <f t="shared" si="32"/>
        <v/>
      </c>
      <c r="D419" s="61" t="str">
        <f t="shared" si="33"/>
        <v/>
      </c>
      <c r="E419" s="62"/>
      <c r="F419" s="63" t="str">
        <f t="shared" si="34"/>
        <v/>
      </c>
      <c r="G419" s="64"/>
      <c r="H419" s="64"/>
      <c r="I419" s="64"/>
      <c r="K419" t="str">
        <f t="shared" si="35"/>
        <v/>
      </c>
      <c r="L419" t="str">
        <f t="shared" si="36"/>
        <v/>
      </c>
    </row>
    <row r="420" spans="1:12">
      <c r="A420" s="59" t="str">
        <f>IF(E420="","",VLOOKUP('Opći dio'!$C$3,'Opći dio'!$L$6:$U$135,10,0))</f>
        <v/>
      </c>
      <c r="B420" s="59" t="str">
        <f>IF(E420="","",VLOOKUP('Opći dio'!$C$3,'Opći dio'!$L$6:$U$135,9,0))</f>
        <v/>
      </c>
      <c r="C420" s="60" t="str">
        <f t="shared" si="32"/>
        <v/>
      </c>
      <c r="D420" s="61" t="str">
        <f t="shared" si="33"/>
        <v/>
      </c>
      <c r="E420" s="62"/>
      <c r="F420" s="63" t="str">
        <f t="shared" si="34"/>
        <v/>
      </c>
      <c r="G420" s="64"/>
      <c r="H420" s="64"/>
      <c r="I420" s="64"/>
      <c r="K420" t="str">
        <f t="shared" si="35"/>
        <v/>
      </c>
      <c r="L420" t="str">
        <f t="shared" si="36"/>
        <v/>
      </c>
    </row>
    <row r="421" spans="1:12">
      <c r="A421" s="59" t="str">
        <f>IF(E421="","",VLOOKUP('Opći dio'!$C$3,'Opći dio'!$L$6:$U$135,10,0))</f>
        <v/>
      </c>
      <c r="B421" s="59" t="str">
        <f>IF(E421="","",VLOOKUP('Opći dio'!$C$3,'Opći dio'!$L$6:$U$135,9,0))</f>
        <v/>
      </c>
      <c r="C421" s="60" t="str">
        <f t="shared" si="32"/>
        <v/>
      </c>
      <c r="D421" s="61" t="str">
        <f t="shared" si="33"/>
        <v/>
      </c>
      <c r="E421" s="62"/>
      <c r="F421" s="63" t="str">
        <f t="shared" si="34"/>
        <v/>
      </c>
      <c r="G421" s="64"/>
      <c r="H421" s="64"/>
      <c r="I421" s="64"/>
      <c r="K421" t="str">
        <f t="shared" si="35"/>
        <v/>
      </c>
      <c r="L421" t="str">
        <f t="shared" si="36"/>
        <v/>
      </c>
    </row>
    <row r="422" spans="1:12">
      <c r="A422" s="59" t="str">
        <f>IF(E422="","",VLOOKUP('Opći dio'!$C$3,'Opći dio'!$L$6:$U$135,10,0))</f>
        <v/>
      </c>
      <c r="B422" s="59" t="str">
        <f>IF(E422="","",VLOOKUP('Opći dio'!$C$3,'Opći dio'!$L$6:$U$135,9,0))</f>
        <v/>
      </c>
      <c r="C422" s="60" t="str">
        <f t="shared" si="32"/>
        <v/>
      </c>
      <c r="D422" s="61" t="str">
        <f t="shared" si="33"/>
        <v/>
      </c>
      <c r="E422" s="62"/>
      <c r="F422" s="63" t="str">
        <f t="shared" si="34"/>
        <v/>
      </c>
      <c r="G422" s="64"/>
      <c r="H422" s="64"/>
      <c r="I422" s="64"/>
      <c r="K422" t="str">
        <f t="shared" si="35"/>
        <v/>
      </c>
      <c r="L422" t="str">
        <f t="shared" si="36"/>
        <v/>
      </c>
    </row>
    <row r="423" spans="1:12">
      <c r="A423" s="59" t="str">
        <f>IF(E423="","",VLOOKUP('Opći dio'!$C$3,'Opći dio'!$L$6:$U$135,10,0))</f>
        <v/>
      </c>
      <c r="B423" s="59" t="str">
        <f>IF(E423="","",VLOOKUP('Opći dio'!$C$3,'Opći dio'!$L$6:$U$135,9,0))</f>
        <v/>
      </c>
      <c r="C423" s="60" t="str">
        <f t="shared" si="32"/>
        <v/>
      </c>
      <c r="D423" s="61" t="str">
        <f t="shared" si="33"/>
        <v/>
      </c>
      <c r="E423" s="62"/>
      <c r="F423" s="63" t="str">
        <f t="shared" si="34"/>
        <v/>
      </c>
      <c r="G423" s="64"/>
      <c r="H423" s="64"/>
      <c r="I423" s="64"/>
      <c r="K423" t="str">
        <f t="shared" si="35"/>
        <v/>
      </c>
      <c r="L423" t="str">
        <f t="shared" si="36"/>
        <v/>
      </c>
    </row>
    <row r="424" spans="1:12">
      <c r="A424" s="59" t="str">
        <f>IF(E424="","",VLOOKUP('Opći dio'!$C$3,'Opći dio'!$L$6:$U$135,10,0))</f>
        <v/>
      </c>
      <c r="B424" s="59" t="str">
        <f>IF(E424="","",VLOOKUP('Opći dio'!$C$3,'Opći dio'!$L$6:$U$135,9,0))</f>
        <v/>
      </c>
      <c r="C424" s="60" t="str">
        <f t="shared" si="32"/>
        <v/>
      </c>
      <c r="D424" s="61" t="str">
        <f t="shared" si="33"/>
        <v/>
      </c>
      <c r="E424" s="62"/>
      <c r="F424" s="63" t="str">
        <f t="shared" si="34"/>
        <v/>
      </c>
      <c r="G424" s="64"/>
      <c r="H424" s="64"/>
      <c r="I424" s="64"/>
      <c r="K424" t="str">
        <f t="shared" si="35"/>
        <v/>
      </c>
      <c r="L424" t="str">
        <f t="shared" si="36"/>
        <v/>
      </c>
    </row>
    <row r="425" spans="1:12">
      <c r="A425" s="59" t="str">
        <f>IF(E425="","",VLOOKUP('Opći dio'!$C$3,'Opći dio'!$L$6:$U$135,10,0))</f>
        <v/>
      </c>
      <c r="B425" s="59" t="str">
        <f>IF(E425="","",VLOOKUP('Opći dio'!$C$3,'Opći dio'!$L$6:$U$135,9,0))</f>
        <v/>
      </c>
      <c r="C425" s="60" t="str">
        <f t="shared" si="32"/>
        <v/>
      </c>
      <c r="D425" s="61" t="str">
        <f t="shared" si="33"/>
        <v/>
      </c>
      <c r="E425" s="62"/>
      <c r="F425" s="63" t="str">
        <f t="shared" si="34"/>
        <v/>
      </c>
      <c r="G425" s="64"/>
      <c r="H425" s="64"/>
      <c r="I425" s="64"/>
      <c r="K425" t="str">
        <f t="shared" si="35"/>
        <v/>
      </c>
      <c r="L425" t="str">
        <f t="shared" si="36"/>
        <v/>
      </c>
    </row>
    <row r="426" spans="1:12">
      <c r="A426" s="59" t="str">
        <f>IF(E426="","",VLOOKUP('Opći dio'!$C$3,'Opći dio'!$L$6:$U$135,10,0))</f>
        <v/>
      </c>
      <c r="B426" s="59" t="str">
        <f>IF(E426="","",VLOOKUP('Opći dio'!$C$3,'Opći dio'!$L$6:$U$135,9,0))</f>
        <v/>
      </c>
      <c r="C426" s="60" t="str">
        <f t="shared" si="32"/>
        <v/>
      </c>
      <c r="D426" s="61" t="str">
        <f t="shared" si="33"/>
        <v/>
      </c>
      <c r="E426" s="62"/>
      <c r="F426" s="63" t="str">
        <f t="shared" si="34"/>
        <v/>
      </c>
      <c r="G426" s="64"/>
      <c r="H426" s="64"/>
      <c r="I426" s="64"/>
      <c r="K426" t="str">
        <f t="shared" si="35"/>
        <v/>
      </c>
      <c r="L426" t="str">
        <f t="shared" si="36"/>
        <v/>
      </c>
    </row>
    <row r="427" spans="1:12">
      <c r="A427" s="59" t="str">
        <f>IF(E427="","",VLOOKUP('Opći dio'!$C$3,'Opći dio'!$L$6:$U$135,10,0))</f>
        <v/>
      </c>
      <c r="B427" s="59" t="str">
        <f>IF(E427="","",VLOOKUP('Opći dio'!$C$3,'Opći dio'!$L$6:$U$135,9,0))</f>
        <v/>
      </c>
      <c r="C427" s="60" t="str">
        <f t="shared" si="32"/>
        <v/>
      </c>
      <c r="D427" s="61" t="str">
        <f t="shared" si="33"/>
        <v/>
      </c>
      <c r="E427" s="62"/>
      <c r="F427" s="63" t="str">
        <f t="shared" si="34"/>
        <v/>
      </c>
      <c r="G427" s="64"/>
      <c r="H427" s="64"/>
      <c r="I427" s="64"/>
      <c r="K427" t="str">
        <f t="shared" si="35"/>
        <v/>
      </c>
      <c r="L427" t="str">
        <f t="shared" si="36"/>
        <v/>
      </c>
    </row>
    <row r="428" spans="1:12">
      <c r="A428" s="59" t="str">
        <f>IF(E428="","",VLOOKUP('Opći dio'!$C$3,'Opći dio'!$L$6:$U$135,10,0))</f>
        <v/>
      </c>
      <c r="B428" s="59" t="str">
        <f>IF(E428="","",VLOOKUP('Opći dio'!$C$3,'Opći dio'!$L$6:$U$135,9,0))</f>
        <v/>
      </c>
      <c r="C428" s="60" t="str">
        <f t="shared" si="32"/>
        <v/>
      </c>
      <c r="D428" s="61" t="str">
        <f t="shared" si="33"/>
        <v/>
      </c>
      <c r="E428" s="62"/>
      <c r="F428" s="63" t="str">
        <f t="shared" si="34"/>
        <v/>
      </c>
      <c r="G428" s="64"/>
      <c r="H428" s="64"/>
      <c r="I428" s="64"/>
      <c r="K428" t="str">
        <f t="shared" si="35"/>
        <v/>
      </c>
      <c r="L428" t="str">
        <f t="shared" si="36"/>
        <v/>
      </c>
    </row>
    <row r="429" spans="1:12">
      <c r="A429" s="59" t="str">
        <f>IF(E429="","",VLOOKUP('Opći dio'!$C$3,'Opći dio'!$L$6:$U$135,10,0))</f>
        <v/>
      </c>
      <c r="B429" s="59" t="str">
        <f>IF(E429="","",VLOOKUP('Opći dio'!$C$3,'Opći dio'!$L$6:$U$135,9,0))</f>
        <v/>
      </c>
      <c r="C429" s="60" t="str">
        <f t="shared" si="32"/>
        <v/>
      </c>
      <c r="D429" s="61" t="str">
        <f t="shared" si="33"/>
        <v/>
      </c>
      <c r="E429" s="62"/>
      <c r="F429" s="63" t="str">
        <f t="shared" si="34"/>
        <v/>
      </c>
      <c r="G429" s="64"/>
      <c r="H429" s="64"/>
      <c r="I429" s="64"/>
      <c r="K429" t="str">
        <f t="shared" si="35"/>
        <v/>
      </c>
      <c r="L429" t="str">
        <f t="shared" si="36"/>
        <v/>
      </c>
    </row>
    <row r="430" spans="1:12">
      <c r="A430" s="59" t="str">
        <f>IF(E430="","",VLOOKUP('Opći dio'!$C$3,'Opći dio'!$L$6:$U$135,10,0))</f>
        <v/>
      </c>
      <c r="B430" s="59" t="str">
        <f>IF(E430="","",VLOOKUP('Opći dio'!$C$3,'Opći dio'!$L$6:$U$135,9,0))</f>
        <v/>
      </c>
      <c r="C430" s="60" t="str">
        <f t="shared" si="32"/>
        <v/>
      </c>
      <c r="D430" s="61" t="str">
        <f t="shared" si="33"/>
        <v/>
      </c>
      <c r="E430" s="62"/>
      <c r="F430" s="63" t="str">
        <f t="shared" si="34"/>
        <v/>
      </c>
      <c r="G430" s="64"/>
      <c r="H430" s="64"/>
      <c r="I430" s="64"/>
      <c r="K430" t="str">
        <f t="shared" si="35"/>
        <v/>
      </c>
      <c r="L430" t="str">
        <f t="shared" si="36"/>
        <v/>
      </c>
    </row>
    <row r="431" spans="1:12">
      <c r="A431" s="59" t="str">
        <f>IF(E431="","",VLOOKUP('Opći dio'!$C$3,'Opći dio'!$L$6:$U$135,10,0))</f>
        <v/>
      </c>
      <c r="B431" s="59" t="str">
        <f>IF(E431="","",VLOOKUP('Opći dio'!$C$3,'Opći dio'!$L$6:$U$135,9,0))</f>
        <v/>
      </c>
      <c r="C431" s="60" t="str">
        <f t="shared" si="32"/>
        <v/>
      </c>
      <c r="D431" s="61" t="str">
        <f t="shared" si="33"/>
        <v/>
      </c>
      <c r="E431" s="62"/>
      <c r="F431" s="63" t="str">
        <f t="shared" si="34"/>
        <v/>
      </c>
      <c r="G431" s="64"/>
      <c r="H431" s="64"/>
      <c r="I431" s="64"/>
      <c r="K431" t="str">
        <f t="shared" si="35"/>
        <v/>
      </c>
      <c r="L431" t="str">
        <f t="shared" si="36"/>
        <v/>
      </c>
    </row>
    <row r="432" spans="1:12">
      <c r="A432" s="59" t="str">
        <f>IF(E432="","",VLOOKUP('Opći dio'!$C$3,'Opći dio'!$L$6:$U$135,10,0))</f>
        <v/>
      </c>
      <c r="B432" s="59" t="str">
        <f>IF(E432="","",VLOOKUP('Opći dio'!$C$3,'Opći dio'!$L$6:$U$135,9,0))</f>
        <v/>
      </c>
      <c r="C432" s="60" t="str">
        <f t="shared" si="32"/>
        <v/>
      </c>
      <c r="D432" s="61" t="str">
        <f t="shared" si="33"/>
        <v/>
      </c>
      <c r="E432" s="62"/>
      <c r="F432" s="63" t="str">
        <f t="shared" si="34"/>
        <v/>
      </c>
      <c r="G432" s="64"/>
      <c r="H432" s="64"/>
      <c r="I432" s="64"/>
      <c r="K432" t="str">
        <f t="shared" si="35"/>
        <v/>
      </c>
      <c r="L432" t="str">
        <f t="shared" si="36"/>
        <v/>
      </c>
    </row>
    <row r="433" spans="1:12">
      <c r="A433" s="59" t="str">
        <f>IF(E433="","",VLOOKUP('Opći dio'!$C$3,'Opći dio'!$L$6:$U$135,10,0))</f>
        <v/>
      </c>
      <c r="B433" s="59" t="str">
        <f>IF(E433="","",VLOOKUP('Opći dio'!$C$3,'Opći dio'!$L$6:$U$135,9,0))</f>
        <v/>
      </c>
      <c r="C433" s="60" t="str">
        <f t="shared" si="32"/>
        <v/>
      </c>
      <c r="D433" s="61" t="str">
        <f t="shared" si="33"/>
        <v/>
      </c>
      <c r="E433" s="62"/>
      <c r="F433" s="63" t="str">
        <f t="shared" si="34"/>
        <v/>
      </c>
      <c r="G433" s="64"/>
      <c r="H433" s="64"/>
      <c r="I433" s="64"/>
      <c r="K433" t="str">
        <f t="shared" si="35"/>
        <v/>
      </c>
      <c r="L433" t="str">
        <f t="shared" si="36"/>
        <v/>
      </c>
    </row>
    <row r="434" spans="1:12">
      <c r="A434" s="59" t="str">
        <f>IF(E434="","",VLOOKUP('Opći dio'!$C$3,'Opći dio'!$L$6:$U$135,10,0))</f>
        <v/>
      </c>
      <c r="B434" s="59" t="str">
        <f>IF(E434="","",VLOOKUP('Opći dio'!$C$3,'Opći dio'!$L$6:$U$135,9,0))</f>
        <v/>
      </c>
      <c r="C434" s="60" t="str">
        <f t="shared" si="32"/>
        <v/>
      </c>
      <c r="D434" s="61" t="str">
        <f t="shared" si="33"/>
        <v/>
      </c>
      <c r="E434" s="62"/>
      <c r="F434" s="63" t="str">
        <f t="shared" si="34"/>
        <v/>
      </c>
      <c r="G434" s="64"/>
      <c r="H434" s="64"/>
      <c r="I434" s="64"/>
      <c r="K434" t="str">
        <f t="shared" si="35"/>
        <v/>
      </c>
      <c r="L434" t="str">
        <f t="shared" si="36"/>
        <v/>
      </c>
    </row>
    <row r="435" spans="1:12">
      <c r="A435" s="59" t="str">
        <f>IF(E435="","",VLOOKUP('Opći dio'!$C$3,'Opći dio'!$L$6:$U$135,10,0))</f>
        <v/>
      </c>
      <c r="B435" s="59" t="str">
        <f>IF(E435="","",VLOOKUP('Opći dio'!$C$3,'Opći dio'!$L$6:$U$135,9,0))</f>
        <v/>
      </c>
      <c r="C435" s="60" t="str">
        <f t="shared" si="32"/>
        <v/>
      </c>
      <c r="D435" s="61" t="str">
        <f t="shared" si="33"/>
        <v/>
      </c>
      <c r="E435" s="62"/>
      <c r="F435" s="63" t="str">
        <f t="shared" si="34"/>
        <v/>
      </c>
      <c r="G435" s="64"/>
      <c r="H435" s="64"/>
      <c r="I435" s="64"/>
      <c r="K435" t="str">
        <f t="shared" si="35"/>
        <v/>
      </c>
      <c r="L435" t="str">
        <f t="shared" si="36"/>
        <v/>
      </c>
    </row>
    <row r="436" spans="1:12">
      <c r="A436" s="59" t="str">
        <f>IF(E436="","",VLOOKUP('Opći dio'!$C$3,'Opći dio'!$L$6:$U$135,10,0))</f>
        <v/>
      </c>
      <c r="B436" s="59" t="str">
        <f>IF(E436="","",VLOOKUP('Opći dio'!$C$3,'Opći dio'!$L$6:$U$135,9,0))</f>
        <v/>
      </c>
      <c r="C436" s="60" t="str">
        <f t="shared" si="32"/>
        <v/>
      </c>
      <c r="D436" s="61" t="str">
        <f t="shared" si="33"/>
        <v/>
      </c>
      <c r="E436" s="62"/>
      <c r="F436" s="63" t="str">
        <f t="shared" si="34"/>
        <v/>
      </c>
      <c r="G436" s="64"/>
      <c r="H436" s="64"/>
      <c r="I436" s="64"/>
      <c r="K436" t="str">
        <f t="shared" si="35"/>
        <v/>
      </c>
      <c r="L436" t="str">
        <f t="shared" si="36"/>
        <v/>
      </c>
    </row>
    <row r="437" spans="1:12">
      <c r="A437" s="59" t="str">
        <f>IF(E437="","",VLOOKUP('Opći dio'!$C$3,'Opći dio'!$L$6:$U$135,10,0))</f>
        <v/>
      </c>
      <c r="B437" s="59" t="str">
        <f>IF(E437="","",VLOOKUP('Opći dio'!$C$3,'Opći dio'!$L$6:$U$135,9,0))</f>
        <v/>
      </c>
      <c r="C437" s="60" t="str">
        <f t="shared" si="32"/>
        <v/>
      </c>
      <c r="D437" s="61" t="str">
        <f t="shared" si="33"/>
        <v/>
      </c>
      <c r="E437" s="62"/>
      <c r="F437" s="63" t="str">
        <f t="shared" si="34"/>
        <v/>
      </c>
      <c r="G437" s="64"/>
      <c r="H437" s="64"/>
      <c r="I437" s="64"/>
      <c r="K437" t="str">
        <f t="shared" si="35"/>
        <v/>
      </c>
      <c r="L437" t="str">
        <f t="shared" si="36"/>
        <v/>
      </c>
    </row>
    <row r="438" spans="1:12">
      <c r="A438" s="59" t="str">
        <f>IF(E438="","",VLOOKUP('Opći dio'!$C$3,'Opći dio'!$L$6:$U$135,10,0))</f>
        <v/>
      </c>
      <c r="B438" s="59" t="str">
        <f>IF(E438="","",VLOOKUP('Opći dio'!$C$3,'Opći dio'!$L$6:$U$135,9,0))</f>
        <v/>
      </c>
      <c r="C438" s="60" t="str">
        <f t="shared" si="32"/>
        <v/>
      </c>
      <c r="D438" s="61" t="str">
        <f t="shared" si="33"/>
        <v/>
      </c>
      <c r="E438" s="62"/>
      <c r="F438" s="63" t="str">
        <f t="shared" si="34"/>
        <v/>
      </c>
      <c r="G438" s="64"/>
      <c r="H438" s="64"/>
      <c r="I438" s="64"/>
      <c r="K438" t="str">
        <f t="shared" si="35"/>
        <v/>
      </c>
      <c r="L438" t="str">
        <f t="shared" si="36"/>
        <v/>
      </c>
    </row>
    <row r="439" spans="1:12">
      <c r="A439" s="59" t="str">
        <f>IF(E439="","",VLOOKUP('Opći dio'!$C$3,'Opći dio'!$L$6:$U$135,10,0))</f>
        <v/>
      </c>
      <c r="B439" s="59" t="str">
        <f>IF(E439="","",VLOOKUP('Opći dio'!$C$3,'Opći dio'!$L$6:$U$135,9,0))</f>
        <v/>
      </c>
      <c r="C439" s="60" t="str">
        <f t="shared" si="32"/>
        <v/>
      </c>
      <c r="D439" s="61" t="str">
        <f t="shared" si="33"/>
        <v/>
      </c>
      <c r="E439" s="62"/>
      <c r="F439" s="63" t="str">
        <f t="shared" si="34"/>
        <v/>
      </c>
      <c r="G439" s="64"/>
      <c r="H439" s="64"/>
      <c r="I439" s="64"/>
      <c r="K439" t="str">
        <f t="shared" si="35"/>
        <v/>
      </c>
      <c r="L439" t="str">
        <f t="shared" si="36"/>
        <v/>
      </c>
    </row>
    <row r="440" spans="1:12">
      <c r="A440" s="59" t="str">
        <f>IF(E440="","",VLOOKUP('Opći dio'!$C$3,'Opći dio'!$L$6:$U$135,10,0))</f>
        <v/>
      </c>
      <c r="B440" s="59" t="str">
        <f>IF(E440="","",VLOOKUP('Opći dio'!$C$3,'Opći dio'!$L$6:$U$135,9,0))</f>
        <v/>
      </c>
      <c r="C440" s="60" t="str">
        <f t="shared" si="32"/>
        <v/>
      </c>
      <c r="D440" s="61" t="str">
        <f t="shared" si="33"/>
        <v/>
      </c>
      <c r="E440" s="62"/>
      <c r="F440" s="63" t="str">
        <f t="shared" si="34"/>
        <v/>
      </c>
      <c r="G440" s="64"/>
      <c r="H440" s="64"/>
      <c r="I440" s="64"/>
      <c r="K440" t="str">
        <f t="shared" si="35"/>
        <v/>
      </c>
      <c r="L440" t="str">
        <f t="shared" si="36"/>
        <v/>
      </c>
    </row>
    <row r="441" spans="1:12">
      <c r="A441" s="59" t="str">
        <f>IF(E441="","",VLOOKUP('Opći dio'!$C$3,'Opći dio'!$L$6:$U$135,10,0))</f>
        <v/>
      </c>
      <c r="B441" s="59" t="str">
        <f>IF(E441="","",VLOOKUP('Opći dio'!$C$3,'Opći dio'!$L$6:$U$135,9,0))</f>
        <v/>
      </c>
      <c r="C441" s="60" t="str">
        <f t="shared" si="32"/>
        <v/>
      </c>
      <c r="D441" s="61" t="str">
        <f t="shared" si="33"/>
        <v/>
      </c>
      <c r="E441" s="62"/>
      <c r="F441" s="63" t="str">
        <f t="shared" si="34"/>
        <v/>
      </c>
      <c r="G441" s="64"/>
      <c r="H441" s="64"/>
      <c r="I441" s="64"/>
      <c r="K441" t="str">
        <f t="shared" si="35"/>
        <v/>
      </c>
      <c r="L441" t="str">
        <f t="shared" si="36"/>
        <v/>
      </c>
    </row>
    <row r="442" spans="1:12">
      <c r="A442" s="59" t="str">
        <f>IF(E442="","",VLOOKUP('Opći dio'!$C$3,'Opći dio'!$L$6:$U$135,10,0))</f>
        <v/>
      </c>
      <c r="B442" s="59" t="str">
        <f>IF(E442="","",VLOOKUP('Opći dio'!$C$3,'Opći dio'!$L$6:$U$135,9,0))</f>
        <v/>
      </c>
      <c r="C442" s="60" t="str">
        <f t="shared" si="32"/>
        <v/>
      </c>
      <c r="D442" s="61" t="str">
        <f t="shared" si="33"/>
        <v/>
      </c>
      <c r="E442" s="62"/>
      <c r="F442" s="63" t="str">
        <f t="shared" si="34"/>
        <v/>
      </c>
      <c r="G442" s="64"/>
      <c r="H442" s="64"/>
      <c r="I442" s="64"/>
      <c r="K442" t="str">
        <f t="shared" si="35"/>
        <v/>
      </c>
      <c r="L442" t="str">
        <f t="shared" si="36"/>
        <v/>
      </c>
    </row>
    <row r="443" spans="1:12">
      <c r="A443" s="59" t="str">
        <f>IF(E443="","",VLOOKUP('Opći dio'!$C$3,'Opći dio'!$L$6:$U$135,10,0))</f>
        <v/>
      </c>
      <c r="B443" s="59" t="str">
        <f>IF(E443="","",VLOOKUP('Opći dio'!$C$3,'Opći dio'!$L$6:$U$135,9,0))</f>
        <v/>
      </c>
      <c r="C443" s="60" t="str">
        <f t="shared" si="32"/>
        <v/>
      </c>
      <c r="D443" s="61" t="str">
        <f t="shared" si="33"/>
        <v/>
      </c>
      <c r="E443" s="62"/>
      <c r="F443" s="63" t="str">
        <f t="shared" si="34"/>
        <v/>
      </c>
      <c r="G443" s="64"/>
      <c r="H443" s="64"/>
      <c r="I443" s="64"/>
      <c r="K443" t="str">
        <f t="shared" si="35"/>
        <v/>
      </c>
      <c r="L443" t="str">
        <f t="shared" si="36"/>
        <v/>
      </c>
    </row>
    <row r="444" spans="1:12">
      <c r="A444" s="59" t="str">
        <f>IF(E444="","",VLOOKUP('Opći dio'!$C$3,'Opći dio'!$L$6:$U$135,10,0))</f>
        <v/>
      </c>
      <c r="B444" s="59" t="str">
        <f>IF(E444="","",VLOOKUP('Opći dio'!$C$3,'Opći dio'!$L$6:$U$135,9,0))</f>
        <v/>
      </c>
      <c r="C444" s="60" t="str">
        <f t="shared" si="32"/>
        <v/>
      </c>
      <c r="D444" s="61" t="str">
        <f t="shared" si="33"/>
        <v/>
      </c>
      <c r="E444" s="62"/>
      <c r="F444" s="63" t="str">
        <f t="shared" si="34"/>
        <v/>
      </c>
      <c r="G444" s="64"/>
      <c r="H444" s="64"/>
      <c r="I444" s="64"/>
      <c r="K444" t="str">
        <f t="shared" si="35"/>
        <v/>
      </c>
      <c r="L444" t="str">
        <f t="shared" si="36"/>
        <v/>
      </c>
    </row>
    <row r="445" spans="1:12">
      <c r="A445" s="59" t="str">
        <f>IF(E445="","",VLOOKUP('Opći dio'!$C$3,'Opći dio'!$L$6:$U$135,10,0))</f>
        <v/>
      </c>
      <c r="B445" s="59" t="str">
        <f>IF(E445="","",VLOOKUP('Opći dio'!$C$3,'Opći dio'!$L$6:$U$135,9,0))</f>
        <v/>
      </c>
      <c r="C445" s="60" t="str">
        <f t="shared" si="32"/>
        <v/>
      </c>
      <c r="D445" s="61" t="str">
        <f t="shared" si="33"/>
        <v/>
      </c>
      <c r="E445" s="62"/>
      <c r="F445" s="63" t="str">
        <f t="shared" si="34"/>
        <v/>
      </c>
      <c r="G445" s="64"/>
      <c r="H445" s="64"/>
      <c r="I445" s="64"/>
      <c r="K445" t="str">
        <f t="shared" si="35"/>
        <v/>
      </c>
      <c r="L445" t="str">
        <f t="shared" si="36"/>
        <v/>
      </c>
    </row>
    <row r="446" spans="1:12">
      <c r="A446" s="59" t="str">
        <f>IF(E446="","",VLOOKUP('Opći dio'!$C$3,'Opći dio'!$L$6:$U$135,10,0))</f>
        <v/>
      </c>
      <c r="B446" s="59" t="str">
        <f>IF(E446="","",VLOOKUP('Opći dio'!$C$3,'Opći dio'!$L$6:$U$135,9,0))</f>
        <v/>
      </c>
      <c r="C446" s="60" t="str">
        <f t="shared" si="32"/>
        <v/>
      </c>
      <c r="D446" s="61" t="str">
        <f t="shared" si="33"/>
        <v/>
      </c>
      <c r="E446" s="62"/>
      <c r="F446" s="63" t="str">
        <f t="shared" si="34"/>
        <v/>
      </c>
      <c r="G446" s="64"/>
      <c r="H446" s="64"/>
      <c r="I446" s="64"/>
      <c r="K446" t="str">
        <f t="shared" si="35"/>
        <v/>
      </c>
      <c r="L446" t="str">
        <f t="shared" si="36"/>
        <v/>
      </c>
    </row>
    <row r="447" spans="1:12">
      <c r="A447" s="59" t="str">
        <f>IF(E447="","",VLOOKUP('Opći dio'!$C$3,'Opći dio'!$L$6:$U$135,10,0))</f>
        <v/>
      </c>
      <c r="B447" s="59" t="str">
        <f>IF(E447="","",VLOOKUP('Opći dio'!$C$3,'Opći dio'!$L$6:$U$135,9,0))</f>
        <v/>
      </c>
      <c r="C447" s="60" t="str">
        <f t="shared" si="32"/>
        <v/>
      </c>
      <c r="D447" s="61" t="str">
        <f t="shared" si="33"/>
        <v/>
      </c>
      <c r="E447" s="62"/>
      <c r="F447" s="63" t="str">
        <f t="shared" si="34"/>
        <v/>
      </c>
      <c r="G447" s="64"/>
      <c r="H447" s="64"/>
      <c r="I447" s="64"/>
      <c r="K447" t="str">
        <f t="shared" si="35"/>
        <v/>
      </c>
      <c r="L447" t="str">
        <f t="shared" si="36"/>
        <v/>
      </c>
    </row>
    <row r="448" spans="1:12">
      <c r="A448" s="59" t="str">
        <f>IF(E448="","",VLOOKUP('Opći dio'!$C$3,'Opći dio'!$L$6:$U$135,10,0))</f>
        <v/>
      </c>
      <c r="B448" s="59" t="str">
        <f>IF(E448="","",VLOOKUP('Opći dio'!$C$3,'Opći dio'!$L$6:$U$135,9,0))</f>
        <v/>
      </c>
      <c r="C448" s="60" t="str">
        <f t="shared" si="32"/>
        <v/>
      </c>
      <c r="D448" s="61" t="str">
        <f t="shared" si="33"/>
        <v/>
      </c>
      <c r="E448" s="62"/>
      <c r="F448" s="63" t="str">
        <f t="shared" si="34"/>
        <v/>
      </c>
      <c r="G448" s="64"/>
      <c r="H448" s="64"/>
      <c r="I448" s="64"/>
      <c r="K448" t="str">
        <f t="shared" si="35"/>
        <v/>
      </c>
      <c r="L448" t="str">
        <f t="shared" si="36"/>
        <v/>
      </c>
    </row>
    <row r="449" spans="1:12">
      <c r="A449" s="59" t="str">
        <f>IF(E449="","",VLOOKUP('Opći dio'!$C$3,'Opći dio'!$L$6:$U$135,10,0))</f>
        <v/>
      </c>
      <c r="B449" s="59" t="str">
        <f>IF(E449="","",VLOOKUP('Opći dio'!$C$3,'Opći dio'!$L$6:$U$135,9,0))</f>
        <v/>
      </c>
      <c r="C449" s="60" t="str">
        <f t="shared" si="32"/>
        <v/>
      </c>
      <c r="D449" s="61" t="str">
        <f t="shared" si="33"/>
        <v/>
      </c>
      <c r="E449" s="62"/>
      <c r="F449" s="63" t="str">
        <f t="shared" si="34"/>
        <v/>
      </c>
      <c r="G449" s="64"/>
      <c r="H449" s="64"/>
      <c r="I449" s="64"/>
      <c r="K449" t="str">
        <f t="shared" si="35"/>
        <v/>
      </c>
      <c r="L449" t="str">
        <f t="shared" si="36"/>
        <v/>
      </c>
    </row>
    <row r="450" spans="1:12">
      <c r="A450" s="59" t="str">
        <f>IF(E450="","",VLOOKUP('Opći dio'!$C$3,'Opći dio'!$L$6:$U$135,10,0))</f>
        <v/>
      </c>
      <c r="B450" s="59" t="str">
        <f>IF(E450="","",VLOOKUP('Opći dio'!$C$3,'Opći dio'!$L$6:$U$135,9,0))</f>
        <v/>
      </c>
      <c r="C450" s="60" t="str">
        <f t="shared" si="32"/>
        <v/>
      </c>
      <c r="D450" s="61" t="str">
        <f t="shared" si="33"/>
        <v/>
      </c>
      <c r="E450" s="62"/>
      <c r="F450" s="63" t="str">
        <f t="shared" si="34"/>
        <v/>
      </c>
      <c r="G450" s="64"/>
      <c r="H450" s="64"/>
      <c r="I450" s="64"/>
      <c r="K450" t="str">
        <f t="shared" si="35"/>
        <v/>
      </c>
      <c r="L450" t="str">
        <f t="shared" si="36"/>
        <v/>
      </c>
    </row>
    <row r="451" spans="1:12">
      <c r="A451" s="59" t="str">
        <f>IF(E451="","",VLOOKUP('Opći dio'!$C$3,'Opći dio'!$L$6:$U$135,10,0))</f>
        <v/>
      </c>
      <c r="B451" s="59" t="str">
        <f>IF(E451="","",VLOOKUP('Opći dio'!$C$3,'Opći dio'!$L$6:$U$135,9,0))</f>
        <v/>
      </c>
      <c r="C451" s="60" t="str">
        <f t="shared" ref="C451:C501" si="37">IFERROR(VLOOKUP(E451,$R$6:$U$73,3,0),"")</f>
        <v/>
      </c>
      <c r="D451" s="61" t="str">
        <f t="shared" ref="D451:D501" si="38">IFERROR(VLOOKUP(E451,$R$6:$U$73,4,0),"")</f>
        <v/>
      </c>
      <c r="E451" s="62"/>
      <c r="F451" s="63" t="str">
        <f t="shared" ref="F451:F501" si="39">IFERROR(VLOOKUP(E451,$R$6:$U$73,2,0),"")</f>
        <v/>
      </c>
      <c r="G451" s="64"/>
      <c r="H451" s="64"/>
      <c r="I451" s="64"/>
      <c r="K451" t="str">
        <f t="shared" ref="K451:K501" si="40">LEFT(E451,3)</f>
        <v/>
      </c>
      <c r="L451" t="str">
        <f t="shared" ref="L451:L501" si="41">LEFT(E451,2)</f>
        <v/>
      </c>
    </row>
    <row r="452" spans="1:12">
      <c r="A452" s="59" t="str">
        <f>IF(E452="","",VLOOKUP('Opći dio'!$C$3,'Opći dio'!$L$6:$U$135,10,0))</f>
        <v/>
      </c>
      <c r="B452" s="59" t="str">
        <f>IF(E452="","",VLOOKUP('Opći dio'!$C$3,'Opći dio'!$L$6:$U$135,9,0))</f>
        <v/>
      </c>
      <c r="C452" s="60" t="str">
        <f t="shared" si="37"/>
        <v/>
      </c>
      <c r="D452" s="61" t="str">
        <f t="shared" si="38"/>
        <v/>
      </c>
      <c r="E452" s="62"/>
      <c r="F452" s="63" t="str">
        <f t="shared" si="39"/>
        <v/>
      </c>
      <c r="G452" s="64"/>
      <c r="H452" s="64"/>
      <c r="I452" s="64"/>
      <c r="K452" t="str">
        <f t="shared" si="40"/>
        <v/>
      </c>
      <c r="L452" t="str">
        <f t="shared" si="41"/>
        <v/>
      </c>
    </row>
    <row r="453" spans="1:12">
      <c r="A453" s="59" t="str">
        <f>IF(E453="","",VLOOKUP('Opći dio'!$C$3,'Opći dio'!$L$6:$U$135,10,0))</f>
        <v/>
      </c>
      <c r="B453" s="59" t="str">
        <f>IF(E453="","",VLOOKUP('Opći dio'!$C$3,'Opći dio'!$L$6:$U$135,9,0))</f>
        <v/>
      </c>
      <c r="C453" s="60" t="str">
        <f t="shared" si="37"/>
        <v/>
      </c>
      <c r="D453" s="61" t="str">
        <f t="shared" si="38"/>
        <v/>
      </c>
      <c r="E453" s="62"/>
      <c r="F453" s="63" t="str">
        <f t="shared" si="39"/>
        <v/>
      </c>
      <c r="G453" s="64"/>
      <c r="H453" s="64"/>
      <c r="I453" s="64"/>
      <c r="K453" t="str">
        <f t="shared" si="40"/>
        <v/>
      </c>
      <c r="L453" t="str">
        <f t="shared" si="41"/>
        <v/>
      </c>
    </row>
    <row r="454" spans="1:12">
      <c r="A454" s="59" t="str">
        <f>IF(E454="","",VLOOKUP('Opći dio'!$C$3,'Opći dio'!$L$6:$U$135,10,0))</f>
        <v/>
      </c>
      <c r="B454" s="59" t="str">
        <f>IF(E454="","",VLOOKUP('Opći dio'!$C$3,'Opći dio'!$L$6:$U$135,9,0))</f>
        <v/>
      </c>
      <c r="C454" s="60" t="str">
        <f t="shared" si="37"/>
        <v/>
      </c>
      <c r="D454" s="61" t="str">
        <f t="shared" si="38"/>
        <v/>
      </c>
      <c r="E454" s="62"/>
      <c r="F454" s="63" t="str">
        <f t="shared" si="39"/>
        <v/>
      </c>
      <c r="G454" s="64"/>
      <c r="H454" s="64"/>
      <c r="I454" s="64"/>
      <c r="K454" t="str">
        <f t="shared" si="40"/>
        <v/>
      </c>
      <c r="L454" t="str">
        <f t="shared" si="41"/>
        <v/>
      </c>
    </row>
    <row r="455" spans="1:12">
      <c r="A455" s="59" t="str">
        <f>IF(E455="","",VLOOKUP('Opći dio'!$C$3,'Opći dio'!$L$6:$U$135,10,0))</f>
        <v/>
      </c>
      <c r="B455" s="59" t="str">
        <f>IF(E455="","",VLOOKUP('Opći dio'!$C$3,'Opći dio'!$L$6:$U$135,9,0))</f>
        <v/>
      </c>
      <c r="C455" s="60" t="str">
        <f t="shared" si="37"/>
        <v/>
      </c>
      <c r="D455" s="61" t="str">
        <f t="shared" si="38"/>
        <v/>
      </c>
      <c r="E455" s="62"/>
      <c r="F455" s="63" t="str">
        <f t="shared" si="39"/>
        <v/>
      </c>
      <c r="G455" s="64"/>
      <c r="H455" s="64"/>
      <c r="I455" s="64"/>
      <c r="K455" t="str">
        <f t="shared" si="40"/>
        <v/>
      </c>
      <c r="L455" t="str">
        <f t="shared" si="41"/>
        <v/>
      </c>
    </row>
    <row r="456" spans="1:12">
      <c r="A456" s="59" t="str">
        <f>IF(E456="","",VLOOKUP('Opći dio'!$C$3,'Opći dio'!$L$6:$U$135,10,0))</f>
        <v/>
      </c>
      <c r="B456" s="59" t="str">
        <f>IF(E456="","",VLOOKUP('Opći dio'!$C$3,'Opći dio'!$L$6:$U$135,9,0))</f>
        <v/>
      </c>
      <c r="C456" s="60" t="str">
        <f t="shared" si="37"/>
        <v/>
      </c>
      <c r="D456" s="61" t="str">
        <f t="shared" si="38"/>
        <v/>
      </c>
      <c r="E456" s="62"/>
      <c r="F456" s="63" t="str">
        <f t="shared" si="39"/>
        <v/>
      </c>
      <c r="G456" s="64"/>
      <c r="H456" s="64"/>
      <c r="I456" s="64"/>
      <c r="K456" t="str">
        <f t="shared" si="40"/>
        <v/>
      </c>
      <c r="L456" t="str">
        <f t="shared" si="41"/>
        <v/>
      </c>
    </row>
    <row r="457" spans="1:12">
      <c r="A457" s="59" t="str">
        <f>IF(E457="","",VLOOKUP('Opći dio'!$C$3,'Opći dio'!$L$6:$U$135,10,0))</f>
        <v/>
      </c>
      <c r="B457" s="59" t="str">
        <f>IF(E457="","",VLOOKUP('Opći dio'!$C$3,'Opći dio'!$L$6:$U$135,9,0))</f>
        <v/>
      </c>
      <c r="C457" s="60" t="str">
        <f t="shared" si="37"/>
        <v/>
      </c>
      <c r="D457" s="61" t="str">
        <f t="shared" si="38"/>
        <v/>
      </c>
      <c r="E457" s="62"/>
      <c r="F457" s="63" t="str">
        <f t="shared" si="39"/>
        <v/>
      </c>
      <c r="G457" s="64"/>
      <c r="H457" s="64"/>
      <c r="I457" s="64"/>
      <c r="K457" t="str">
        <f t="shared" si="40"/>
        <v/>
      </c>
      <c r="L457" t="str">
        <f t="shared" si="41"/>
        <v/>
      </c>
    </row>
    <row r="458" spans="1:12">
      <c r="A458" s="59" t="str">
        <f>IF(E458="","",VLOOKUP('Opći dio'!$C$3,'Opći dio'!$L$6:$U$135,10,0))</f>
        <v/>
      </c>
      <c r="B458" s="59" t="str">
        <f>IF(E458="","",VLOOKUP('Opći dio'!$C$3,'Opći dio'!$L$6:$U$135,9,0))</f>
        <v/>
      </c>
      <c r="C458" s="60" t="str">
        <f t="shared" si="37"/>
        <v/>
      </c>
      <c r="D458" s="61" t="str">
        <f t="shared" si="38"/>
        <v/>
      </c>
      <c r="E458" s="62"/>
      <c r="F458" s="63" t="str">
        <f t="shared" si="39"/>
        <v/>
      </c>
      <c r="G458" s="64"/>
      <c r="H458" s="64"/>
      <c r="I458" s="64"/>
      <c r="K458" t="str">
        <f t="shared" si="40"/>
        <v/>
      </c>
      <c r="L458" t="str">
        <f t="shared" si="41"/>
        <v/>
      </c>
    </row>
    <row r="459" spans="1:12">
      <c r="A459" s="59" t="str">
        <f>IF(E459="","",VLOOKUP('Opći dio'!$C$3,'Opći dio'!$L$6:$U$135,10,0))</f>
        <v/>
      </c>
      <c r="B459" s="59" t="str">
        <f>IF(E459="","",VLOOKUP('Opći dio'!$C$3,'Opći dio'!$L$6:$U$135,9,0))</f>
        <v/>
      </c>
      <c r="C459" s="60" t="str">
        <f t="shared" si="37"/>
        <v/>
      </c>
      <c r="D459" s="61" t="str">
        <f t="shared" si="38"/>
        <v/>
      </c>
      <c r="E459" s="62"/>
      <c r="F459" s="63" t="str">
        <f t="shared" si="39"/>
        <v/>
      </c>
      <c r="G459" s="64"/>
      <c r="H459" s="64"/>
      <c r="I459" s="64"/>
      <c r="K459" t="str">
        <f t="shared" si="40"/>
        <v/>
      </c>
      <c r="L459" t="str">
        <f t="shared" si="41"/>
        <v/>
      </c>
    </row>
    <row r="460" spans="1:12">
      <c r="A460" s="59" t="str">
        <f>IF(E460="","",VLOOKUP('Opći dio'!$C$3,'Opći dio'!$L$6:$U$135,10,0))</f>
        <v/>
      </c>
      <c r="B460" s="59" t="str">
        <f>IF(E460="","",VLOOKUP('Opći dio'!$C$3,'Opći dio'!$L$6:$U$135,9,0))</f>
        <v/>
      </c>
      <c r="C460" s="60" t="str">
        <f t="shared" si="37"/>
        <v/>
      </c>
      <c r="D460" s="61" t="str">
        <f t="shared" si="38"/>
        <v/>
      </c>
      <c r="E460" s="62"/>
      <c r="F460" s="63" t="str">
        <f t="shared" si="39"/>
        <v/>
      </c>
      <c r="G460" s="64"/>
      <c r="H460" s="64"/>
      <c r="I460" s="64"/>
      <c r="K460" t="str">
        <f t="shared" si="40"/>
        <v/>
      </c>
      <c r="L460" t="str">
        <f t="shared" si="41"/>
        <v/>
      </c>
    </row>
    <row r="461" spans="1:12">
      <c r="A461" s="59" t="str">
        <f>IF(E461="","",VLOOKUP('Opći dio'!$C$3,'Opći dio'!$L$6:$U$135,10,0))</f>
        <v/>
      </c>
      <c r="B461" s="59" t="str">
        <f>IF(E461="","",VLOOKUP('Opći dio'!$C$3,'Opći dio'!$L$6:$U$135,9,0))</f>
        <v/>
      </c>
      <c r="C461" s="60" t="str">
        <f t="shared" si="37"/>
        <v/>
      </c>
      <c r="D461" s="61" t="str">
        <f t="shared" si="38"/>
        <v/>
      </c>
      <c r="E461" s="62"/>
      <c r="F461" s="63" t="str">
        <f t="shared" si="39"/>
        <v/>
      </c>
      <c r="G461" s="64"/>
      <c r="H461" s="64"/>
      <c r="I461" s="64"/>
      <c r="K461" t="str">
        <f t="shared" si="40"/>
        <v/>
      </c>
      <c r="L461" t="str">
        <f t="shared" si="41"/>
        <v/>
      </c>
    </row>
    <row r="462" spans="1:12">
      <c r="A462" s="59" t="str">
        <f>IF(E462="","",VLOOKUP('Opći dio'!$C$3,'Opći dio'!$L$6:$U$135,10,0))</f>
        <v/>
      </c>
      <c r="B462" s="59" t="str">
        <f>IF(E462="","",VLOOKUP('Opći dio'!$C$3,'Opći dio'!$L$6:$U$135,9,0))</f>
        <v/>
      </c>
      <c r="C462" s="60" t="str">
        <f t="shared" si="37"/>
        <v/>
      </c>
      <c r="D462" s="61" t="str">
        <f t="shared" si="38"/>
        <v/>
      </c>
      <c r="E462" s="62"/>
      <c r="F462" s="63" t="str">
        <f t="shared" si="39"/>
        <v/>
      </c>
      <c r="G462" s="64"/>
      <c r="H462" s="64"/>
      <c r="I462" s="64"/>
      <c r="K462" t="str">
        <f t="shared" si="40"/>
        <v/>
      </c>
      <c r="L462" t="str">
        <f t="shared" si="41"/>
        <v/>
      </c>
    </row>
    <row r="463" spans="1:12">
      <c r="A463" s="59" t="str">
        <f>IF(E463="","",VLOOKUP('Opći dio'!$C$3,'Opći dio'!$L$6:$U$135,10,0))</f>
        <v/>
      </c>
      <c r="B463" s="59" t="str">
        <f>IF(E463="","",VLOOKUP('Opći dio'!$C$3,'Opći dio'!$L$6:$U$135,9,0))</f>
        <v/>
      </c>
      <c r="C463" s="60" t="str">
        <f t="shared" si="37"/>
        <v/>
      </c>
      <c r="D463" s="61" t="str">
        <f t="shared" si="38"/>
        <v/>
      </c>
      <c r="E463" s="62"/>
      <c r="F463" s="63" t="str">
        <f t="shared" si="39"/>
        <v/>
      </c>
      <c r="G463" s="64"/>
      <c r="H463" s="64"/>
      <c r="I463" s="64"/>
      <c r="K463" t="str">
        <f t="shared" si="40"/>
        <v/>
      </c>
      <c r="L463" t="str">
        <f t="shared" si="41"/>
        <v/>
      </c>
    </row>
    <row r="464" spans="1:12">
      <c r="A464" s="59" t="str">
        <f>IF(E464="","",VLOOKUP('Opći dio'!$C$3,'Opći dio'!$L$6:$U$135,10,0))</f>
        <v/>
      </c>
      <c r="B464" s="59" t="str">
        <f>IF(E464="","",VLOOKUP('Opći dio'!$C$3,'Opći dio'!$L$6:$U$135,9,0))</f>
        <v/>
      </c>
      <c r="C464" s="60" t="str">
        <f t="shared" si="37"/>
        <v/>
      </c>
      <c r="D464" s="61" t="str">
        <f t="shared" si="38"/>
        <v/>
      </c>
      <c r="E464" s="62"/>
      <c r="F464" s="63" t="str">
        <f t="shared" si="39"/>
        <v/>
      </c>
      <c r="G464" s="64"/>
      <c r="H464" s="64"/>
      <c r="I464" s="64"/>
      <c r="K464" t="str">
        <f t="shared" si="40"/>
        <v/>
      </c>
      <c r="L464" t="str">
        <f t="shared" si="41"/>
        <v/>
      </c>
    </row>
    <row r="465" spans="1:12">
      <c r="A465" s="59" t="str">
        <f>IF(E465="","",VLOOKUP('Opći dio'!$C$3,'Opći dio'!$L$6:$U$135,10,0))</f>
        <v/>
      </c>
      <c r="B465" s="59" t="str">
        <f>IF(E465="","",VLOOKUP('Opći dio'!$C$3,'Opći dio'!$L$6:$U$135,9,0))</f>
        <v/>
      </c>
      <c r="C465" s="60" t="str">
        <f t="shared" si="37"/>
        <v/>
      </c>
      <c r="D465" s="61" t="str">
        <f t="shared" si="38"/>
        <v/>
      </c>
      <c r="E465" s="62"/>
      <c r="F465" s="63" t="str">
        <f t="shared" si="39"/>
        <v/>
      </c>
      <c r="G465" s="64"/>
      <c r="H465" s="64"/>
      <c r="I465" s="64"/>
      <c r="K465" t="str">
        <f t="shared" si="40"/>
        <v/>
      </c>
      <c r="L465" t="str">
        <f t="shared" si="41"/>
        <v/>
      </c>
    </row>
    <row r="466" spans="1:12">
      <c r="A466" s="59" t="str">
        <f>IF(E466="","",VLOOKUP('Opći dio'!$C$3,'Opći dio'!$L$6:$U$135,10,0))</f>
        <v/>
      </c>
      <c r="B466" s="59" t="str">
        <f>IF(E466="","",VLOOKUP('Opći dio'!$C$3,'Opći dio'!$L$6:$U$135,9,0))</f>
        <v/>
      </c>
      <c r="C466" s="60" t="str">
        <f t="shared" si="37"/>
        <v/>
      </c>
      <c r="D466" s="61" t="str">
        <f t="shared" si="38"/>
        <v/>
      </c>
      <c r="E466" s="62"/>
      <c r="F466" s="63" t="str">
        <f t="shared" si="39"/>
        <v/>
      </c>
      <c r="G466" s="64"/>
      <c r="H466" s="64"/>
      <c r="I466" s="64"/>
      <c r="K466" t="str">
        <f t="shared" si="40"/>
        <v/>
      </c>
      <c r="L466" t="str">
        <f t="shared" si="41"/>
        <v/>
      </c>
    </row>
    <row r="467" spans="1:12">
      <c r="A467" s="59" t="str">
        <f>IF(E467="","",VLOOKUP('Opći dio'!$C$3,'Opći dio'!$L$6:$U$135,10,0))</f>
        <v/>
      </c>
      <c r="B467" s="59" t="str">
        <f>IF(E467="","",VLOOKUP('Opći dio'!$C$3,'Opći dio'!$L$6:$U$135,9,0))</f>
        <v/>
      </c>
      <c r="C467" s="60" t="str">
        <f t="shared" si="37"/>
        <v/>
      </c>
      <c r="D467" s="61" t="str">
        <f t="shared" si="38"/>
        <v/>
      </c>
      <c r="E467" s="62"/>
      <c r="F467" s="63" t="str">
        <f t="shared" si="39"/>
        <v/>
      </c>
      <c r="G467" s="64"/>
      <c r="H467" s="64"/>
      <c r="I467" s="64"/>
      <c r="K467" t="str">
        <f t="shared" si="40"/>
        <v/>
      </c>
      <c r="L467" t="str">
        <f t="shared" si="41"/>
        <v/>
      </c>
    </row>
    <row r="468" spans="1:12">
      <c r="A468" s="59" t="str">
        <f>IF(E468="","",VLOOKUP('Opći dio'!$C$3,'Opći dio'!$L$6:$U$135,10,0))</f>
        <v/>
      </c>
      <c r="B468" s="59" t="str">
        <f>IF(E468="","",VLOOKUP('Opći dio'!$C$3,'Opći dio'!$L$6:$U$135,9,0))</f>
        <v/>
      </c>
      <c r="C468" s="60" t="str">
        <f t="shared" si="37"/>
        <v/>
      </c>
      <c r="D468" s="61" t="str">
        <f t="shared" si="38"/>
        <v/>
      </c>
      <c r="E468" s="62"/>
      <c r="F468" s="63" t="str">
        <f t="shared" si="39"/>
        <v/>
      </c>
      <c r="G468" s="64"/>
      <c r="H468" s="64"/>
      <c r="I468" s="64"/>
      <c r="K468" t="str">
        <f t="shared" si="40"/>
        <v/>
      </c>
      <c r="L468" t="str">
        <f t="shared" si="41"/>
        <v/>
      </c>
    </row>
    <row r="469" spans="1:12">
      <c r="A469" s="59" t="str">
        <f>IF(E469="","",VLOOKUP('Opći dio'!$C$3,'Opći dio'!$L$6:$U$135,10,0))</f>
        <v/>
      </c>
      <c r="B469" s="59" t="str">
        <f>IF(E469="","",VLOOKUP('Opći dio'!$C$3,'Opći dio'!$L$6:$U$135,9,0))</f>
        <v/>
      </c>
      <c r="C469" s="60" t="str">
        <f t="shared" si="37"/>
        <v/>
      </c>
      <c r="D469" s="61" t="str">
        <f t="shared" si="38"/>
        <v/>
      </c>
      <c r="E469" s="62"/>
      <c r="F469" s="63" t="str">
        <f t="shared" si="39"/>
        <v/>
      </c>
      <c r="G469" s="64"/>
      <c r="H469" s="64"/>
      <c r="I469" s="64"/>
      <c r="K469" t="str">
        <f t="shared" si="40"/>
        <v/>
      </c>
      <c r="L469" t="str">
        <f t="shared" si="41"/>
        <v/>
      </c>
    </row>
    <row r="470" spans="1:12">
      <c r="A470" s="59" t="str">
        <f>IF(E470="","",VLOOKUP('Opći dio'!$C$3,'Opći dio'!$L$6:$U$135,10,0))</f>
        <v/>
      </c>
      <c r="B470" s="59" t="str">
        <f>IF(E470="","",VLOOKUP('Opći dio'!$C$3,'Opći dio'!$L$6:$U$135,9,0))</f>
        <v/>
      </c>
      <c r="C470" s="60" t="str">
        <f t="shared" si="37"/>
        <v/>
      </c>
      <c r="D470" s="61" t="str">
        <f t="shared" si="38"/>
        <v/>
      </c>
      <c r="E470" s="62"/>
      <c r="F470" s="63" t="str">
        <f t="shared" si="39"/>
        <v/>
      </c>
      <c r="G470" s="64"/>
      <c r="H470" s="64"/>
      <c r="I470" s="64"/>
      <c r="K470" t="str">
        <f t="shared" si="40"/>
        <v/>
      </c>
      <c r="L470" t="str">
        <f t="shared" si="41"/>
        <v/>
      </c>
    </row>
    <row r="471" spans="1:12">
      <c r="A471" s="59" t="str">
        <f>IF(E471="","",VLOOKUP('Opći dio'!$C$3,'Opći dio'!$L$6:$U$135,10,0))</f>
        <v/>
      </c>
      <c r="B471" s="59" t="str">
        <f>IF(E471="","",VLOOKUP('Opći dio'!$C$3,'Opći dio'!$L$6:$U$135,9,0))</f>
        <v/>
      </c>
      <c r="C471" s="60" t="str">
        <f t="shared" si="37"/>
        <v/>
      </c>
      <c r="D471" s="61" t="str">
        <f t="shared" si="38"/>
        <v/>
      </c>
      <c r="E471" s="62"/>
      <c r="F471" s="63" t="str">
        <f t="shared" si="39"/>
        <v/>
      </c>
      <c r="G471" s="64"/>
      <c r="H471" s="64"/>
      <c r="I471" s="64"/>
      <c r="K471" t="str">
        <f t="shared" si="40"/>
        <v/>
      </c>
      <c r="L471" t="str">
        <f t="shared" si="41"/>
        <v/>
      </c>
    </row>
    <row r="472" spans="1:12">
      <c r="A472" s="59" t="str">
        <f>IF(E472="","",VLOOKUP('Opći dio'!$C$3,'Opći dio'!$L$6:$U$135,10,0))</f>
        <v/>
      </c>
      <c r="B472" s="59" t="str">
        <f>IF(E472="","",VLOOKUP('Opći dio'!$C$3,'Opći dio'!$L$6:$U$135,9,0))</f>
        <v/>
      </c>
      <c r="C472" s="60" t="str">
        <f t="shared" si="37"/>
        <v/>
      </c>
      <c r="D472" s="61" t="str">
        <f t="shared" si="38"/>
        <v/>
      </c>
      <c r="E472" s="62"/>
      <c r="F472" s="63" t="str">
        <f t="shared" si="39"/>
        <v/>
      </c>
      <c r="G472" s="64"/>
      <c r="H472" s="64"/>
      <c r="I472" s="64"/>
      <c r="K472" t="str">
        <f t="shared" si="40"/>
        <v/>
      </c>
      <c r="L472" t="str">
        <f t="shared" si="41"/>
        <v/>
      </c>
    </row>
    <row r="473" spans="1:12">
      <c r="A473" s="59" t="str">
        <f>IF(E473="","",VLOOKUP('Opći dio'!$C$3,'Opći dio'!$L$6:$U$135,10,0))</f>
        <v/>
      </c>
      <c r="B473" s="59" t="str">
        <f>IF(E473="","",VLOOKUP('Opći dio'!$C$3,'Opći dio'!$L$6:$U$135,9,0))</f>
        <v/>
      </c>
      <c r="C473" s="60" t="str">
        <f t="shared" si="37"/>
        <v/>
      </c>
      <c r="D473" s="61" t="str">
        <f t="shared" si="38"/>
        <v/>
      </c>
      <c r="E473" s="62"/>
      <c r="F473" s="63" t="str">
        <f t="shared" si="39"/>
        <v/>
      </c>
      <c r="G473" s="64"/>
      <c r="H473" s="64"/>
      <c r="I473" s="64"/>
      <c r="K473" t="str">
        <f t="shared" si="40"/>
        <v/>
      </c>
      <c r="L473" t="str">
        <f t="shared" si="41"/>
        <v/>
      </c>
    </row>
    <row r="474" spans="1:12">
      <c r="A474" s="59" t="str">
        <f>IF(E474="","",VLOOKUP('Opći dio'!$C$3,'Opći dio'!$L$6:$U$135,10,0))</f>
        <v/>
      </c>
      <c r="B474" s="59" t="str">
        <f>IF(E474="","",VLOOKUP('Opći dio'!$C$3,'Opći dio'!$L$6:$U$135,9,0))</f>
        <v/>
      </c>
      <c r="C474" s="60" t="str">
        <f t="shared" si="37"/>
        <v/>
      </c>
      <c r="D474" s="61" t="str">
        <f t="shared" si="38"/>
        <v/>
      </c>
      <c r="E474" s="62"/>
      <c r="F474" s="63" t="str">
        <f t="shared" si="39"/>
        <v/>
      </c>
      <c r="G474" s="64"/>
      <c r="H474" s="64"/>
      <c r="I474" s="64"/>
      <c r="K474" t="str">
        <f t="shared" si="40"/>
        <v/>
      </c>
      <c r="L474" t="str">
        <f t="shared" si="41"/>
        <v/>
      </c>
    </row>
    <row r="475" spans="1:12">
      <c r="A475" s="59" t="str">
        <f>IF(E475="","",VLOOKUP('Opći dio'!$C$3,'Opći dio'!$L$6:$U$135,10,0))</f>
        <v/>
      </c>
      <c r="B475" s="59" t="str">
        <f>IF(E475="","",VLOOKUP('Opći dio'!$C$3,'Opći dio'!$L$6:$U$135,9,0))</f>
        <v/>
      </c>
      <c r="C475" s="60" t="str">
        <f t="shared" si="37"/>
        <v/>
      </c>
      <c r="D475" s="61" t="str">
        <f t="shared" si="38"/>
        <v/>
      </c>
      <c r="E475" s="62"/>
      <c r="F475" s="63" t="str">
        <f t="shared" si="39"/>
        <v/>
      </c>
      <c r="G475" s="64"/>
      <c r="H475" s="64"/>
      <c r="I475" s="64"/>
      <c r="K475" t="str">
        <f t="shared" si="40"/>
        <v/>
      </c>
      <c r="L475" t="str">
        <f t="shared" si="41"/>
        <v/>
      </c>
    </row>
    <row r="476" spans="1:12">
      <c r="A476" s="59" t="str">
        <f>IF(E476="","",VLOOKUP('Opći dio'!$C$3,'Opći dio'!$L$6:$U$135,10,0))</f>
        <v/>
      </c>
      <c r="B476" s="59" t="str">
        <f>IF(E476="","",VLOOKUP('Opći dio'!$C$3,'Opći dio'!$L$6:$U$135,9,0))</f>
        <v/>
      </c>
      <c r="C476" s="60" t="str">
        <f t="shared" si="37"/>
        <v/>
      </c>
      <c r="D476" s="61" t="str">
        <f t="shared" si="38"/>
        <v/>
      </c>
      <c r="E476" s="62"/>
      <c r="F476" s="63" t="str">
        <f t="shared" si="39"/>
        <v/>
      </c>
      <c r="G476" s="64"/>
      <c r="H476" s="64"/>
      <c r="I476" s="64"/>
      <c r="K476" t="str">
        <f t="shared" si="40"/>
        <v/>
      </c>
      <c r="L476" t="str">
        <f t="shared" si="41"/>
        <v/>
      </c>
    </row>
    <row r="477" spans="1:12">
      <c r="A477" s="59" t="str">
        <f>IF(E477="","",VLOOKUP('Opći dio'!$C$3,'Opći dio'!$L$6:$U$135,10,0))</f>
        <v/>
      </c>
      <c r="B477" s="59" t="str">
        <f>IF(E477="","",VLOOKUP('Opći dio'!$C$3,'Opći dio'!$L$6:$U$135,9,0))</f>
        <v/>
      </c>
      <c r="C477" s="60" t="str">
        <f t="shared" si="37"/>
        <v/>
      </c>
      <c r="D477" s="61" t="str">
        <f t="shared" si="38"/>
        <v/>
      </c>
      <c r="E477" s="62"/>
      <c r="F477" s="63" t="str">
        <f t="shared" si="39"/>
        <v/>
      </c>
      <c r="G477" s="64"/>
      <c r="H477" s="64"/>
      <c r="I477" s="64"/>
      <c r="K477" t="str">
        <f t="shared" si="40"/>
        <v/>
      </c>
      <c r="L477" t="str">
        <f t="shared" si="41"/>
        <v/>
      </c>
    </row>
    <row r="478" spans="1:12">
      <c r="A478" s="59" t="str">
        <f>IF(E478="","",VLOOKUP('Opći dio'!$C$3,'Opći dio'!$L$6:$U$135,10,0))</f>
        <v/>
      </c>
      <c r="B478" s="59" t="str">
        <f>IF(E478="","",VLOOKUP('Opći dio'!$C$3,'Opći dio'!$L$6:$U$135,9,0))</f>
        <v/>
      </c>
      <c r="C478" s="60" t="str">
        <f t="shared" si="37"/>
        <v/>
      </c>
      <c r="D478" s="61" t="str">
        <f t="shared" si="38"/>
        <v/>
      </c>
      <c r="E478" s="62"/>
      <c r="F478" s="63" t="str">
        <f t="shared" si="39"/>
        <v/>
      </c>
      <c r="G478" s="64"/>
      <c r="H478" s="64"/>
      <c r="I478" s="64"/>
      <c r="K478" t="str">
        <f t="shared" si="40"/>
        <v/>
      </c>
      <c r="L478" t="str">
        <f t="shared" si="41"/>
        <v/>
      </c>
    </row>
    <row r="479" spans="1:12">
      <c r="A479" s="59" t="str">
        <f>IF(E479="","",VLOOKUP('Opći dio'!$C$3,'Opći dio'!$L$6:$U$135,10,0))</f>
        <v/>
      </c>
      <c r="B479" s="59" t="str">
        <f>IF(E479="","",VLOOKUP('Opći dio'!$C$3,'Opći dio'!$L$6:$U$135,9,0))</f>
        <v/>
      </c>
      <c r="C479" s="60" t="str">
        <f t="shared" si="37"/>
        <v/>
      </c>
      <c r="D479" s="61" t="str">
        <f t="shared" si="38"/>
        <v/>
      </c>
      <c r="E479" s="62"/>
      <c r="F479" s="63" t="str">
        <f t="shared" si="39"/>
        <v/>
      </c>
      <c r="G479" s="64"/>
      <c r="H479" s="64"/>
      <c r="I479" s="64"/>
      <c r="K479" t="str">
        <f t="shared" si="40"/>
        <v/>
      </c>
      <c r="L479" t="str">
        <f t="shared" si="41"/>
        <v/>
      </c>
    </row>
    <row r="480" spans="1:12">
      <c r="A480" s="59" t="str">
        <f>IF(E480="","",VLOOKUP('Opći dio'!$C$3,'Opći dio'!$L$6:$U$135,10,0))</f>
        <v/>
      </c>
      <c r="B480" s="59" t="str">
        <f>IF(E480="","",VLOOKUP('Opći dio'!$C$3,'Opći dio'!$L$6:$U$135,9,0))</f>
        <v/>
      </c>
      <c r="C480" s="60" t="str">
        <f t="shared" si="37"/>
        <v/>
      </c>
      <c r="D480" s="61" t="str">
        <f t="shared" si="38"/>
        <v/>
      </c>
      <c r="E480" s="62"/>
      <c r="F480" s="63" t="str">
        <f t="shared" si="39"/>
        <v/>
      </c>
      <c r="G480" s="64"/>
      <c r="H480" s="64"/>
      <c r="I480" s="64"/>
      <c r="K480" t="str">
        <f t="shared" si="40"/>
        <v/>
      </c>
      <c r="L480" t="str">
        <f t="shared" si="41"/>
        <v/>
      </c>
    </row>
    <row r="481" spans="1:12">
      <c r="A481" s="59" t="str">
        <f>IF(E481="","",VLOOKUP('Opći dio'!$C$3,'Opći dio'!$L$6:$U$135,10,0))</f>
        <v/>
      </c>
      <c r="B481" s="59" t="str">
        <f>IF(E481="","",VLOOKUP('Opći dio'!$C$3,'Opći dio'!$L$6:$U$135,9,0))</f>
        <v/>
      </c>
      <c r="C481" s="60" t="str">
        <f t="shared" si="37"/>
        <v/>
      </c>
      <c r="D481" s="61" t="str">
        <f t="shared" si="38"/>
        <v/>
      </c>
      <c r="E481" s="62"/>
      <c r="F481" s="63" t="str">
        <f t="shared" si="39"/>
        <v/>
      </c>
      <c r="G481" s="64"/>
      <c r="H481" s="64"/>
      <c r="I481" s="64"/>
      <c r="K481" t="str">
        <f t="shared" si="40"/>
        <v/>
      </c>
      <c r="L481" t="str">
        <f t="shared" si="41"/>
        <v/>
      </c>
    </row>
    <row r="482" spans="1:12">
      <c r="A482" s="59" t="str">
        <f>IF(E482="","",VLOOKUP('Opći dio'!$C$3,'Opći dio'!$L$6:$U$135,10,0))</f>
        <v/>
      </c>
      <c r="B482" s="59" t="str">
        <f>IF(E482="","",VLOOKUP('Opći dio'!$C$3,'Opći dio'!$L$6:$U$135,9,0))</f>
        <v/>
      </c>
      <c r="C482" s="60" t="str">
        <f t="shared" si="37"/>
        <v/>
      </c>
      <c r="D482" s="61" t="str">
        <f t="shared" si="38"/>
        <v/>
      </c>
      <c r="E482" s="62"/>
      <c r="F482" s="63" t="str">
        <f t="shared" si="39"/>
        <v/>
      </c>
      <c r="G482" s="64"/>
      <c r="H482" s="64"/>
      <c r="I482" s="64"/>
      <c r="K482" t="str">
        <f t="shared" si="40"/>
        <v/>
      </c>
      <c r="L482" t="str">
        <f t="shared" si="41"/>
        <v/>
      </c>
    </row>
    <row r="483" spans="1:12">
      <c r="A483" s="59" t="str">
        <f>IF(E483="","",VLOOKUP('Opći dio'!$C$3,'Opći dio'!$L$6:$U$135,10,0))</f>
        <v/>
      </c>
      <c r="B483" s="59" t="str">
        <f>IF(E483="","",VLOOKUP('Opći dio'!$C$3,'Opći dio'!$L$6:$U$135,9,0))</f>
        <v/>
      </c>
      <c r="C483" s="60" t="str">
        <f t="shared" si="37"/>
        <v/>
      </c>
      <c r="D483" s="61" t="str">
        <f t="shared" si="38"/>
        <v/>
      </c>
      <c r="E483" s="62"/>
      <c r="F483" s="63" t="str">
        <f t="shared" si="39"/>
        <v/>
      </c>
      <c r="G483" s="64"/>
      <c r="H483" s="64"/>
      <c r="I483" s="64"/>
      <c r="K483" t="str">
        <f t="shared" si="40"/>
        <v/>
      </c>
      <c r="L483" t="str">
        <f t="shared" si="41"/>
        <v/>
      </c>
    </row>
    <row r="484" spans="1:12">
      <c r="A484" s="59" t="str">
        <f>IF(E484="","",VLOOKUP('Opći dio'!$C$3,'Opći dio'!$L$6:$U$135,10,0))</f>
        <v/>
      </c>
      <c r="B484" s="59" t="str">
        <f>IF(E484="","",VLOOKUP('Opći dio'!$C$3,'Opći dio'!$L$6:$U$135,9,0))</f>
        <v/>
      </c>
      <c r="C484" s="60" t="str">
        <f t="shared" si="37"/>
        <v/>
      </c>
      <c r="D484" s="61" t="str">
        <f t="shared" si="38"/>
        <v/>
      </c>
      <c r="E484" s="62"/>
      <c r="F484" s="63" t="str">
        <f t="shared" si="39"/>
        <v/>
      </c>
      <c r="G484" s="64"/>
      <c r="H484" s="64"/>
      <c r="I484" s="64"/>
      <c r="K484" t="str">
        <f t="shared" si="40"/>
        <v/>
      </c>
      <c r="L484" t="str">
        <f t="shared" si="41"/>
        <v/>
      </c>
    </row>
    <row r="485" spans="1:12">
      <c r="A485" s="59" t="str">
        <f>IF(E485="","",VLOOKUP('Opći dio'!$C$3,'Opći dio'!$L$6:$U$135,10,0))</f>
        <v/>
      </c>
      <c r="B485" s="59" t="str">
        <f>IF(E485="","",VLOOKUP('Opći dio'!$C$3,'Opći dio'!$L$6:$U$135,9,0))</f>
        <v/>
      </c>
      <c r="C485" s="60" t="str">
        <f t="shared" si="37"/>
        <v/>
      </c>
      <c r="D485" s="61" t="str">
        <f t="shared" si="38"/>
        <v/>
      </c>
      <c r="E485" s="62"/>
      <c r="F485" s="63" t="str">
        <f t="shared" si="39"/>
        <v/>
      </c>
      <c r="G485" s="64"/>
      <c r="H485" s="64"/>
      <c r="I485" s="64"/>
      <c r="K485" t="str">
        <f t="shared" si="40"/>
        <v/>
      </c>
      <c r="L485" t="str">
        <f t="shared" si="41"/>
        <v/>
      </c>
    </row>
    <row r="486" spans="1:12">
      <c r="A486" s="59" t="str">
        <f>IF(E486="","",VLOOKUP('Opći dio'!$C$3,'Opći dio'!$L$6:$U$135,10,0))</f>
        <v/>
      </c>
      <c r="B486" s="59" t="str">
        <f>IF(E486="","",VLOOKUP('Opći dio'!$C$3,'Opći dio'!$L$6:$U$135,9,0))</f>
        <v/>
      </c>
      <c r="C486" s="60" t="str">
        <f t="shared" si="37"/>
        <v/>
      </c>
      <c r="D486" s="61" t="str">
        <f t="shared" si="38"/>
        <v/>
      </c>
      <c r="E486" s="62"/>
      <c r="F486" s="63" t="str">
        <f t="shared" si="39"/>
        <v/>
      </c>
      <c r="G486" s="64"/>
      <c r="H486" s="64"/>
      <c r="I486" s="64"/>
      <c r="K486" t="str">
        <f t="shared" si="40"/>
        <v/>
      </c>
      <c r="L486" t="str">
        <f t="shared" si="41"/>
        <v/>
      </c>
    </row>
    <row r="487" spans="1:12">
      <c r="A487" s="59" t="str">
        <f>IF(E487="","",VLOOKUP('Opći dio'!$C$3,'Opći dio'!$L$6:$U$135,10,0))</f>
        <v/>
      </c>
      <c r="B487" s="59" t="str">
        <f>IF(E487="","",VLOOKUP('Opći dio'!$C$3,'Opći dio'!$L$6:$U$135,9,0))</f>
        <v/>
      </c>
      <c r="C487" s="60" t="str">
        <f t="shared" si="37"/>
        <v/>
      </c>
      <c r="D487" s="61" t="str">
        <f t="shared" si="38"/>
        <v/>
      </c>
      <c r="E487" s="62"/>
      <c r="F487" s="63" t="str">
        <f t="shared" si="39"/>
        <v/>
      </c>
      <c r="G487" s="64"/>
      <c r="H487" s="64"/>
      <c r="I487" s="64"/>
      <c r="K487" t="str">
        <f t="shared" si="40"/>
        <v/>
      </c>
      <c r="L487" t="str">
        <f t="shared" si="41"/>
        <v/>
      </c>
    </row>
    <row r="488" spans="1:12">
      <c r="A488" s="59" t="str">
        <f>IF(E488="","",VLOOKUP('Opći dio'!$C$3,'Opći dio'!$L$6:$U$135,10,0))</f>
        <v/>
      </c>
      <c r="B488" s="59" t="str">
        <f>IF(E488="","",VLOOKUP('Opći dio'!$C$3,'Opći dio'!$L$6:$U$135,9,0))</f>
        <v/>
      </c>
      <c r="C488" s="60" t="str">
        <f t="shared" si="37"/>
        <v/>
      </c>
      <c r="D488" s="61" t="str">
        <f t="shared" si="38"/>
        <v/>
      </c>
      <c r="E488" s="62"/>
      <c r="F488" s="63" t="str">
        <f t="shared" si="39"/>
        <v/>
      </c>
      <c r="G488" s="64"/>
      <c r="H488" s="64"/>
      <c r="I488" s="64"/>
      <c r="K488" t="str">
        <f t="shared" si="40"/>
        <v/>
      </c>
      <c r="L488" t="str">
        <f t="shared" si="41"/>
        <v/>
      </c>
    </row>
    <row r="489" spans="1:12">
      <c r="A489" s="59" t="str">
        <f>IF(E489="","",VLOOKUP('Opći dio'!$C$3,'Opći dio'!$L$6:$U$135,10,0))</f>
        <v/>
      </c>
      <c r="B489" s="59" t="str">
        <f>IF(E489="","",VLOOKUP('Opći dio'!$C$3,'Opći dio'!$L$6:$U$135,9,0))</f>
        <v/>
      </c>
      <c r="C489" s="60" t="str">
        <f t="shared" si="37"/>
        <v/>
      </c>
      <c r="D489" s="61" t="str">
        <f t="shared" si="38"/>
        <v/>
      </c>
      <c r="E489" s="62"/>
      <c r="F489" s="63" t="str">
        <f t="shared" si="39"/>
        <v/>
      </c>
      <c r="G489" s="64"/>
      <c r="H489" s="64"/>
      <c r="I489" s="64"/>
      <c r="K489" t="str">
        <f t="shared" si="40"/>
        <v/>
      </c>
      <c r="L489" t="str">
        <f t="shared" si="41"/>
        <v/>
      </c>
    </row>
    <row r="490" spans="1:12">
      <c r="A490" s="59" t="str">
        <f>IF(E490="","",VLOOKUP('Opći dio'!$C$3,'Opći dio'!$L$6:$U$135,10,0))</f>
        <v/>
      </c>
      <c r="B490" s="59" t="str">
        <f>IF(E490="","",VLOOKUP('Opći dio'!$C$3,'Opći dio'!$L$6:$U$135,9,0))</f>
        <v/>
      </c>
      <c r="C490" s="60" t="str">
        <f t="shared" si="37"/>
        <v/>
      </c>
      <c r="D490" s="61" t="str">
        <f t="shared" si="38"/>
        <v/>
      </c>
      <c r="E490" s="62"/>
      <c r="F490" s="63" t="str">
        <f t="shared" si="39"/>
        <v/>
      </c>
      <c r="G490" s="64"/>
      <c r="H490" s="64"/>
      <c r="I490" s="64"/>
      <c r="K490" t="str">
        <f t="shared" si="40"/>
        <v/>
      </c>
      <c r="L490" t="str">
        <f t="shared" si="41"/>
        <v/>
      </c>
    </row>
    <row r="491" spans="1:12">
      <c r="A491" s="59" t="str">
        <f>IF(E491="","",VLOOKUP('Opći dio'!$C$3,'Opći dio'!$L$6:$U$135,10,0))</f>
        <v/>
      </c>
      <c r="B491" s="59" t="str">
        <f>IF(E491="","",VLOOKUP('Opći dio'!$C$3,'Opći dio'!$L$6:$U$135,9,0))</f>
        <v/>
      </c>
      <c r="C491" s="60" t="str">
        <f t="shared" si="37"/>
        <v/>
      </c>
      <c r="D491" s="61" t="str">
        <f t="shared" si="38"/>
        <v/>
      </c>
      <c r="E491" s="62"/>
      <c r="F491" s="63" t="str">
        <f t="shared" si="39"/>
        <v/>
      </c>
      <c r="G491" s="64"/>
      <c r="H491" s="64"/>
      <c r="I491" s="64"/>
      <c r="K491" t="str">
        <f t="shared" si="40"/>
        <v/>
      </c>
      <c r="L491" t="str">
        <f t="shared" si="41"/>
        <v/>
      </c>
    </row>
    <row r="492" spans="1:12">
      <c r="A492" s="59" t="str">
        <f>IF(E492="","",VLOOKUP('Opći dio'!$C$3,'Opći dio'!$L$6:$U$135,10,0))</f>
        <v/>
      </c>
      <c r="B492" s="59" t="str">
        <f>IF(E492="","",VLOOKUP('Opći dio'!$C$3,'Opći dio'!$L$6:$U$135,9,0))</f>
        <v/>
      </c>
      <c r="C492" s="60" t="str">
        <f t="shared" si="37"/>
        <v/>
      </c>
      <c r="D492" s="61" t="str">
        <f t="shared" si="38"/>
        <v/>
      </c>
      <c r="E492" s="62"/>
      <c r="F492" s="63" t="str">
        <f t="shared" si="39"/>
        <v/>
      </c>
      <c r="G492" s="64"/>
      <c r="H492" s="64"/>
      <c r="I492" s="64"/>
      <c r="K492" t="str">
        <f t="shared" si="40"/>
        <v/>
      </c>
      <c r="L492" t="str">
        <f t="shared" si="41"/>
        <v/>
      </c>
    </row>
    <row r="493" spans="1:12">
      <c r="A493" s="59" t="str">
        <f>IF(E493="","",VLOOKUP('Opći dio'!$C$3,'Opći dio'!$L$6:$U$135,10,0))</f>
        <v/>
      </c>
      <c r="B493" s="59" t="str">
        <f>IF(E493="","",VLOOKUP('Opći dio'!$C$3,'Opći dio'!$L$6:$U$135,9,0))</f>
        <v/>
      </c>
      <c r="C493" s="60" t="str">
        <f t="shared" si="37"/>
        <v/>
      </c>
      <c r="D493" s="61" t="str">
        <f t="shared" si="38"/>
        <v/>
      </c>
      <c r="E493" s="62"/>
      <c r="F493" s="63" t="str">
        <f t="shared" si="39"/>
        <v/>
      </c>
      <c r="G493" s="64"/>
      <c r="H493" s="64"/>
      <c r="I493" s="64"/>
      <c r="K493" t="str">
        <f t="shared" si="40"/>
        <v/>
      </c>
      <c r="L493" t="str">
        <f t="shared" si="41"/>
        <v/>
      </c>
    </row>
    <row r="494" spans="1:12">
      <c r="A494" s="59" t="str">
        <f>IF(E494="","",VLOOKUP('Opći dio'!$C$3,'Opći dio'!$L$6:$U$135,10,0))</f>
        <v/>
      </c>
      <c r="B494" s="59" t="str">
        <f>IF(E494="","",VLOOKUP('Opći dio'!$C$3,'Opći dio'!$L$6:$U$135,9,0))</f>
        <v/>
      </c>
      <c r="C494" s="60" t="str">
        <f t="shared" si="37"/>
        <v/>
      </c>
      <c r="D494" s="61" t="str">
        <f t="shared" si="38"/>
        <v/>
      </c>
      <c r="E494" s="62"/>
      <c r="F494" s="63" t="str">
        <f t="shared" si="39"/>
        <v/>
      </c>
      <c r="G494" s="64"/>
      <c r="H494" s="64"/>
      <c r="I494" s="64"/>
      <c r="K494" t="str">
        <f t="shared" si="40"/>
        <v/>
      </c>
      <c r="L494" t="str">
        <f t="shared" si="41"/>
        <v/>
      </c>
    </row>
    <row r="495" spans="1:12">
      <c r="A495" s="59" t="str">
        <f>IF(E495="","",VLOOKUP('Opći dio'!$C$3,'Opći dio'!$L$6:$U$135,10,0))</f>
        <v/>
      </c>
      <c r="B495" s="59" t="str">
        <f>IF(E495="","",VLOOKUP('Opći dio'!$C$3,'Opći dio'!$L$6:$U$135,9,0))</f>
        <v/>
      </c>
      <c r="C495" s="60" t="str">
        <f t="shared" si="37"/>
        <v/>
      </c>
      <c r="D495" s="61" t="str">
        <f t="shared" si="38"/>
        <v/>
      </c>
      <c r="E495" s="62"/>
      <c r="F495" s="63" t="str">
        <f t="shared" si="39"/>
        <v/>
      </c>
      <c r="G495" s="64"/>
      <c r="H495" s="64"/>
      <c r="I495" s="64"/>
      <c r="K495" t="str">
        <f t="shared" si="40"/>
        <v/>
      </c>
      <c r="L495" t="str">
        <f t="shared" si="41"/>
        <v/>
      </c>
    </row>
    <row r="496" spans="1:12">
      <c r="A496" s="59" t="str">
        <f>IF(E496="","",VLOOKUP('Opći dio'!$C$3,'Opći dio'!$L$6:$U$135,10,0))</f>
        <v/>
      </c>
      <c r="B496" s="59" t="str">
        <f>IF(E496="","",VLOOKUP('Opći dio'!$C$3,'Opći dio'!$L$6:$U$135,9,0))</f>
        <v/>
      </c>
      <c r="C496" s="60" t="str">
        <f t="shared" si="37"/>
        <v/>
      </c>
      <c r="D496" s="61" t="str">
        <f t="shared" si="38"/>
        <v/>
      </c>
      <c r="E496" s="62"/>
      <c r="F496" s="63" t="str">
        <f t="shared" si="39"/>
        <v/>
      </c>
      <c r="G496" s="64"/>
      <c r="H496" s="64"/>
      <c r="I496" s="64"/>
      <c r="K496" t="str">
        <f t="shared" si="40"/>
        <v/>
      </c>
      <c r="L496" t="str">
        <f t="shared" si="41"/>
        <v/>
      </c>
    </row>
    <row r="497" spans="1:12">
      <c r="A497" s="59" t="str">
        <f>IF(E497="","",VLOOKUP('Opći dio'!$C$3,'Opći dio'!$L$6:$U$135,10,0))</f>
        <v/>
      </c>
      <c r="B497" s="59" t="str">
        <f>IF(E497="","",VLOOKUP('Opći dio'!$C$3,'Opći dio'!$L$6:$U$135,9,0))</f>
        <v/>
      </c>
      <c r="C497" s="60" t="str">
        <f t="shared" si="37"/>
        <v/>
      </c>
      <c r="D497" s="61" t="str">
        <f t="shared" si="38"/>
        <v/>
      </c>
      <c r="E497" s="62"/>
      <c r="F497" s="63" t="str">
        <f t="shared" si="39"/>
        <v/>
      </c>
      <c r="G497" s="64"/>
      <c r="H497" s="64"/>
      <c r="I497" s="64"/>
      <c r="K497" t="str">
        <f t="shared" si="40"/>
        <v/>
      </c>
      <c r="L497" t="str">
        <f t="shared" si="41"/>
        <v/>
      </c>
    </row>
    <row r="498" spans="1:12">
      <c r="A498" s="59" t="str">
        <f>IF(E498="","",VLOOKUP('Opći dio'!$C$3,'Opći dio'!$L$6:$U$135,10,0))</f>
        <v/>
      </c>
      <c r="B498" s="59" t="str">
        <f>IF(E498="","",VLOOKUP('Opći dio'!$C$3,'Opći dio'!$L$6:$U$135,9,0))</f>
        <v/>
      </c>
      <c r="C498" s="60" t="str">
        <f t="shared" si="37"/>
        <v/>
      </c>
      <c r="D498" s="61" t="str">
        <f t="shared" si="38"/>
        <v/>
      </c>
      <c r="E498" s="62"/>
      <c r="F498" s="63" t="str">
        <f t="shared" si="39"/>
        <v/>
      </c>
      <c r="G498" s="64"/>
      <c r="H498" s="64"/>
      <c r="I498" s="64"/>
      <c r="K498" t="str">
        <f t="shared" si="40"/>
        <v/>
      </c>
      <c r="L498" t="str">
        <f t="shared" si="41"/>
        <v/>
      </c>
    </row>
    <row r="499" spans="1:12">
      <c r="A499" s="59" t="str">
        <f>IF(E499="","",VLOOKUP('Opći dio'!$C$3,'Opći dio'!$L$6:$U$135,10,0))</f>
        <v/>
      </c>
      <c r="B499" s="59" t="str">
        <f>IF(E499="","",VLOOKUP('Opći dio'!$C$3,'Opći dio'!$L$6:$U$135,9,0))</f>
        <v/>
      </c>
      <c r="C499" s="60" t="str">
        <f t="shared" si="37"/>
        <v/>
      </c>
      <c r="D499" s="61" t="str">
        <f t="shared" si="38"/>
        <v/>
      </c>
      <c r="E499" s="62"/>
      <c r="F499" s="63" t="str">
        <f t="shared" si="39"/>
        <v/>
      </c>
      <c r="G499" s="64"/>
      <c r="H499" s="64"/>
      <c r="I499" s="64"/>
      <c r="K499" t="str">
        <f t="shared" si="40"/>
        <v/>
      </c>
      <c r="L499" t="str">
        <f t="shared" si="41"/>
        <v/>
      </c>
    </row>
    <row r="500" spans="1:12">
      <c r="A500" s="59" t="str">
        <f>IF(E500="","",VLOOKUP('Opći dio'!$C$3,'Opći dio'!$L$6:$U$135,10,0))</f>
        <v/>
      </c>
      <c r="B500" s="59" t="str">
        <f>IF(E500="","",VLOOKUP('Opći dio'!$C$3,'Opći dio'!$L$6:$U$135,9,0))</f>
        <v/>
      </c>
      <c r="C500" s="60" t="str">
        <f t="shared" si="37"/>
        <v/>
      </c>
      <c r="D500" s="61" t="str">
        <f t="shared" si="38"/>
        <v/>
      </c>
      <c r="E500" s="62"/>
      <c r="F500" s="63" t="str">
        <f t="shared" si="39"/>
        <v/>
      </c>
      <c r="G500" s="64"/>
      <c r="H500" s="64"/>
      <c r="I500" s="64"/>
      <c r="K500" t="str">
        <f t="shared" si="40"/>
        <v/>
      </c>
      <c r="L500" t="str">
        <f t="shared" si="41"/>
        <v/>
      </c>
    </row>
    <row r="501" spans="1:12">
      <c r="A501" s="59" t="str">
        <f>IF(E501="","",VLOOKUP('Opći dio'!$C$3,'Opći dio'!$L$6:$U$135,10,0))</f>
        <v/>
      </c>
      <c r="B501" s="59" t="str">
        <f>IF(E501="","",VLOOKUP('Opći dio'!$C$3,'Opći dio'!$L$6:$U$135,9,0))</f>
        <v/>
      </c>
      <c r="C501" s="60" t="str">
        <f t="shared" si="37"/>
        <v/>
      </c>
      <c r="D501" s="61" t="str">
        <f t="shared" si="38"/>
        <v/>
      </c>
      <c r="E501" s="62"/>
      <c r="F501" s="63" t="str">
        <f t="shared" si="39"/>
        <v/>
      </c>
      <c r="G501" s="64"/>
      <c r="H501" s="64"/>
      <c r="I501" s="64"/>
      <c r="K501" t="str">
        <f t="shared" si="40"/>
        <v/>
      </c>
      <c r="L501" t="str">
        <f t="shared" si="41"/>
        <v/>
      </c>
    </row>
    <row r="502" spans="1:12"/>
  </sheetData>
  <sheetProtection password="DE31" sheet="1" objects="1" scenarios="1" selectLockedCells="1"/>
  <mergeCells count="1">
    <mergeCell ref="A1:D1"/>
  </mergeCells>
  <dataValidations count="2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17 E20:E501" xr:uid="{00000000-0002-0000-0100-000001000000}">
      <formula1>$R$6:$R$73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74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502"/>
  <sheetViews>
    <sheetView showGridLines="0" zoomScaleNormal="100" workbookViewId="0">
      <pane ySplit="2" topLeftCell="A3" activePane="bottomLeft" state="frozen"/>
      <selection pane="bottomLeft" activeCell="K4" sqref="K4"/>
    </sheetView>
  </sheetViews>
  <sheetFormatPr defaultRowHeight="14.4" zeroHeight="1"/>
  <cols>
    <col min="1" max="1" width="8.33203125" customWidth="1"/>
    <col min="2" max="2" width="20.33203125" customWidth="1"/>
    <col min="3" max="3" width="11.5546875" customWidth="1"/>
    <col min="4" max="4" width="16.88671875" customWidth="1"/>
    <col min="5" max="5" width="11.33203125" customWidth="1"/>
    <col min="6" max="6" width="21.88671875" customWidth="1"/>
    <col min="7" max="7" width="12.5546875" customWidth="1"/>
    <col min="8" max="8" width="36.6640625" customWidth="1"/>
    <col min="9" max="9" width="16.44140625" style="52" customWidth="1"/>
    <col min="10" max="10" width="15.6640625" style="52" customWidth="1"/>
    <col min="11" max="11" width="15.109375" style="52" customWidth="1"/>
    <col min="12" max="12" width="9.109375" customWidth="1"/>
    <col min="13" max="15" width="9.109375" hidden="1" customWidth="1"/>
    <col min="16" max="16" width="46.5546875" hidden="1" customWidth="1"/>
    <col min="17" max="18" width="9.109375" hidden="1" customWidth="1"/>
    <col min="19" max="19" width="58.88671875" hidden="1" customWidth="1"/>
    <col min="20" max="25" width="11.5546875" hidden="1"/>
    <col min="26" max="1025" width="9.109375" hidden="1" customWidth="1"/>
  </cols>
  <sheetData>
    <row r="1" spans="1:25" ht="35.25" customHeight="1">
      <c r="A1" s="237" t="s">
        <v>542</v>
      </c>
      <c r="B1" s="237"/>
      <c r="C1" s="237"/>
      <c r="D1" s="237"/>
      <c r="E1" s="53" t="str">
        <f>IF('Opći dio'!C3="odaberite -","Molimo odaberite proračunskog korisnika na radnom listu Opći podaci!","")</f>
        <v/>
      </c>
    </row>
    <row r="2" spans="1:25" ht="36" customHeight="1">
      <c r="A2" s="54" t="s">
        <v>450</v>
      </c>
      <c r="B2" s="54" t="s">
        <v>451</v>
      </c>
      <c r="C2" s="55" t="s">
        <v>543</v>
      </c>
      <c r="D2" s="54" t="s">
        <v>453</v>
      </c>
      <c r="E2" s="55" t="s">
        <v>454</v>
      </c>
      <c r="F2" s="54" t="s">
        <v>455</v>
      </c>
      <c r="G2" s="55" t="s">
        <v>544</v>
      </c>
      <c r="H2" s="54" t="s">
        <v>545</v>
      </c>
      <c r="I2" s="56" t="s">
        <v>42</v>
      </c>
      <c r="J2" s="56" t="s">
        <v>43</v>
      </c>
      <c r="K2" s="56" t="s">
        <v>44</v>
      </c>
      <c r="M2" s="57" t="s">
        <v>456</v>
      </c>
      <c r="N2" s="57" t="s">
        <v>457</v>
      </c>
    </row>
    <row r="3" spans="1:25">
      <c r="A3" s="59" t="str">
        <f>IF(C3="","",VLOOKUP('Opći dio'!$C$3,'Opći dio'!$L$6:$U$135,10,0))</f>
        <v>08008</v>
      </c>
      <c r="B3" s="59" t="str">
        <f>IF(C3="","",VLOOKUP('Opći dio'!$C$3,'Opći dio'!$L$6:$U$135,9,0))</f>
        <v>Javni instituti</v>
      </c>
      <c r="C3" s="74">
        <v>11</v>
      </c>
      <c r="D3" s="59" t="str">
        <f t="shared" ref="D3:D66" si="0">IFERROR(VLOOKUP(C3,$O$6:$P$16,2,0),"")</f>
        <v>Opći prihodi i primici</v>
      </c>
      <c r="E3" s="74">
        <v>3111</v>
      </c>
      <c r="F3" s="59" t="str">
        <f t="shared" ref="F3:F66" si="1">IFERROR(VLOOKUP(E3,$R$5:$T$129,2,0),"")</f>
        <v>Plaće za redovan rad</v>
      </c>
      <c r="G3" s="75" t="s">
        <v>546</v>
      </c>
      <c r="H3" s="59" t="str">
        <f t="shared" ref="H3:H66" si="2">IFERROR(VLOOKUP(G3,$X$6:$Y$50,2,0),"")</f>
        <v>REDOVNA DJELATNOST JAVNIH INSTITUTA</v>
      </c>
      <c r="I3" s="64">
        <v>3678871</v>
      </c>
      <c r="J3" s="64">
        <v>3912844</v>
      </c>
      <c r="K3" s="64">
        <v>3907996</v>
      </c>
      <c r="M3" t="str">
        <f t="shared" ref="M3:M66" si="3">LEFT(E3,3)</f>
        <v>311</v>
      </c>
      <c r="N3" t="str">
        <f t="shared" ref="N3:N66" si="4">LEFT(E3,2)</f>
        <v>31</v>
      </c>
    </row>
    <row r="4" spans="1:25">
      <c r="A4" s="59" t="str">
        <f>IF(C4="","",VLOOKUP('Opći dio'!$C$3,'Opći dio'!$L$6:$U$135,10,0))</f>
        <v>08008</v>
      </c>
      <c r="B4" s="59" t="str">
        <f>IF(C4="","",VLOOKUP('Opći dio'!$C$3,'Opći dio'!$L$6:$U$135,9,0))</f>
        <v>Javni instituti</v>
      </c>
      <c r="C4" s="74">
        <v>11</v>
      </c>
      <c r="D4" s="59" t="str">
        <f t="shared" si="0"/>
        <v>Opći prihodi i primici</v>
      </c>
      <c r="E4" s="74">
        <v>3121</v>
      </c>
      <c r="F4" s="59" t="str">
        <f t="shared" si="1"/>
        <v>Ostali rashodi za zaposlene</v>
      </c>
      <c r="G4" s="75" t="s">
        <v>546</v>
      </c>
      <c r="H4" s="59" t="str">
        <f t="shared" si="2"/>
        <v>REDOVNA DJELATNOST JAVNIH INSTITUTA</v>
      </c>
      <c r="I4" s="64">
        <v>130181</v>
      </c>
      <c r="J4" s="64">
        <v>135011</v>
      </c>
      <c r="K4" s="64">
        <v>135919</v>
      </c>
      <c r="M4" t="str">
        <f t="shared" si="3"/>
        <v>312</v>
      </c>
      <c r="N4" t="str">
        <f t="shared" si="4"/>
        <v>31</v>
      </c>
      <c r="R4" s="76"/>
      <c r="S4" s="76"/>
    </row>
    <row r="5" spans="1:25">
      <c r="A5" s="59" t="str">
        <f>IF(C5="","",VLOOKUP('Opći dio'!$C$3,'Opći dio'!$L$6:$U$135,10,0))</f>
        <v>08008</v>
      </c>
      <c r="B5" s="59" t="str">
        <f>IF(C5="","",VLOOKUP('Opći dio'!$C$3,'Opći dio'!$L$6:$U$135,9,0))</f>
        <v>Javni instituti</v>
      </c>
      <c r="C5" s="74">
        <v>11</v>
      </c>
      <c r="D5" s="59" t="str">
        <f t="shared" si="0"/>
        <v>Opći prihodi i primici</v>
      </c>
      <c r="E5" s="74">
        <v>3132</v>
      </c>
      <c r="F5" s="59" t="str">
        <f t="shared" si="1"/>
        <v>Doprinosi za obvezno zdravstveno osiguranje</v>
      </c>
      <c r="G5" s="75" t="s">
        <v>546</v>
      </c>
      <c r="H5" s="59" t="str">
        <f t="shared" si="2"/>
        <v>REDOVNA DJELATNOST JAVNIH INSTITUTA</v>
      </c>
      <c r="I5" s="64">
        <v>607513</v>
      </c>
      <c r="J5" s="64">
        <v>630053</v>
      </c>
      <c r="K5" s="64">
        <v>634291</v>
      </c>
      <c r="M5" t="str">
        <f t="shared" si="3"/>
        <v>313</v>
      </c>
      <c r="N5" t="str">
        <f t="shared" si="4"/>
        <v>31</v>
      </c>
      <c r="O5" t="s">
        <v>452</v>
      </c>
      <c r="P5" t="s">
        <v>453</v>
      </c>
      <c r="R5">
        <v>3111</v>
      </c>
      <c r="S5" t="s">
        <v>547</v>
      </c>
      <c r="U5" t="str">
        <f t="shared" ref="U5:U36" si="5">LEFT(R5,2)</f>
        <v>31</v>
      </c>
      <c r="V5" t="str">
        <f t="shared" ref="V5:V36" si="6">LEFT(R5,3)</f>
        <v>311</v>
      </c>
      <c r="X5" t="s">
        <v>548</v>
      </c>
      <c r="Y5" t="s">
        <v>545</v>
      </c>
    </row>
    <row r="6" spans="1:25">
      <c r="A6" s="59" t="str">
        <f>IF(C6="","",VLOOKUP('Opći dio'!$C$3,'Opći dio'!$L$6:$U$135,10,0))</f>
        <v>08008</v>
      </c>
      <c r="B6" s="59" t="str">
        <f>IF(C6="","",VLOOKUP('Opći dio'!$C$3,'Opći dio'!$L$6:$U$135,9,0))</f>
        <v>Javni instituti</v>
      </c>
      <c r="C6" s="74">
        <v>11</v>
      </c>
      <c r="D6" s="59" t="str">
        <f t="shared" si="0"/>
        <v>Opći prihodi i primici</v>
      </c>
      <c r="E6" s="74">
        <v>3211</v>
      </c>
      <c r="F6" s="59" t="str">
        <f t="shared" si="1"/>
        <v>Službena putovanja</v>
      </c>
      <c r="G6" s="75" t="s">
        <v>549</v>
      </c>
      <c r="H6" s="59" t="str">
        <f t="shared" si="2"/>
        <v>PROGRAMSKO FINANCIRANJE JAVNIH ZNANSTVENIH INSTITUTA</v>
      </c>
      <c r="I6" s="64">
        <v>61172</v>
      </c>
      <c r="J6" s="64">
        <v>62500</v>
      </c>
      <c r="K6" s="64">
        <v>65000</v>
      </c>
      <c r="M6" t="str">
        <f t="shared" si="3"/>
        <v>321</v>
      </c>
      <c r="N6" t="str">
        <f t="shared" si="4"/>
        <v>32</v>
      </c>
      <c r="O6">
        <v>11</v>
      </c>
      <c r="P6" t="s">
        <v>465</v>
      </c>
      <c r="R6">
        <v>3112</v>
      </c>
      <c r="S6" t="s">
        <v>550</v>
      </c>
      <c r="U6" t="str">
        <f t="shared" si="5"/>
        <v>31</v>
      </c>
      <c r="V6" t="str">
        <f t="shared" si="6"/>
        <v>311</v>
      </c>
      <c r="X6" t="s">
        <v>551</v>
      </c>
      <c r="Y6" t="s">
        <v>552</v>
      </c>
    </row>
    <row r="7" spans="1:25">
      <c r="A7" s="59" t="str">
        <f>IF(C7="","",VLOOKUP('Opći dio'!$C$3,'Opći dio'!$L$6:$U$135,10,0))</f>
        <v>08008</v>
      </c>
      <c r="B7" s="59" t="str">
        <f>IF(C7="","",VLOOKUP('Opći dio'!$C$3,'Opći dio'!$L$6:$U$135,9,0))</f>
        <v>Javni instituti</v>
      </c>
      <c r="C7" s="74">
        <v>11</v>
      </c>
      <c r="D7" s="59" t="str">
        <f t="shared" si="0"/>
        <v>Opći prihodi i primici</v>
      </c>
      <c r="E7" s="74">
        <v>3213</v>
      </c>
      <c r="F7" s="59" t="str">
        <f t="shared" si="1"/>
        <v>Stručno usavršavanje zaposlenika</v>
      </c>
      <c r="G7" s="75" t="s">
        <v>549</v>
      </c>
      <c r="H7" s="59" t="str">
        <f t="shared" si="2"/>
        <v>PROGRAMSKO FINANCIRANJE JAVNIH ZNANSTVENIH INSTITUTA</v>
      </c>
      <c r="I7" s="64">
        <v>6201</v>
      </c>
      <c r="J7" s="64">
        <v>7000</v>
      </c>
      <c r="K7" s="64">
        <v>9000</v>
      </c>
      <c r="M7" t="str">
        <f t="shared" si="3"/>
        <v>321</v>
      </c>
      <c r="N7" t="str">
        <f t="shared" si="4"/>
        <v>32</v>
      </c>
      <c r="O7">
        <v>12</v>
      </c>
      <c r="P7" t="s">
        <v>467</v>
      </c>
      <c r="R7">
        <v>3113</v>
      </c>
      <c r="S7" t="s">
        <v>553</v>
      </c>
      <c r="U7" t="str">
        <f t="shared" si="5"/>
        <v>31</v>
      </c>
      <c r="V7" t="str">
        <f t="shared" si="6"/>
        <v>311</v>
      </c>
      <c r="X7" t="s">
        <v>554</v>
      </c>
      <c r="Y7" t="s">
        <v>555</v>
      </c>
    </row>
    <row r="8" spans="1:25">
      <c r="A8" s="59" t="str">
        <f>IF(C8="","",VLOOKUP('Opći dio'!$C$3,'Opći dio'!$L$6:$U$135,10,0))</f>
        <v>08008</v>
      </c>
      <c r="B8" s="59" t="str">
        <f>IF(C8="","",VLOOKUP('Opći dio'!$C$3,'Opći dio'!$L$6:$U$135,9,0))</f>
        <v>Javni instituti</v>
      </c>
      <c r="C8" s="74">
        <v>11</v>
      </c>
      <c r="D8" s="59" t="str">
        <f t="shared" si="0"/>
        <v>Opći prihodi i primici</v>
      </c>
      <c r="E8" s="74">
        <v>3214</v>
      </c>
      <c r="F8" s="59" t="str">
        <f t="shared" si="1"/>
        <v>Ostale naknade troškova zaposlenima</v>
      </c>
      <c r="G8" s="75" t="s">
        <v>549</v>
      </c>
      <c r="H8" s="59" t="str">
        <f t="shared" si="2"/>
        <v>PROGRAMSKO FINANCIRANJE JAVNIH ZNANSTVENIH INSTITUTA</v>
      </c>
      <c r="I8" s="64">
        <v>721</v>
      </c>
      <c r="J8" s="64">
        <v>1500</v>
      </c>
      <c r="K8" s="64">
        <v>2000</v>
      </c>
      <c r="M8" t="str">
        <f t="shared" si="3"/>
        <v>321</v>
      </c>
      <c r="N8" t="str">
        <f t="shared" si="4"/>
        <v>32</v>
      </c>
      <c r="O8">
        <v>31</v>
      </c>
      <c r="P8" t="s">
        <v>468</v>
      </c>
      <c r="R8">
        <v>3114</v>
      </c>
      <c r="S8" t="s">
        <v>556</v>
      </c>
      <c r="U8" t="str">
        <f t="shared" si="5"/>
        <v>31</v>
      </c>
      <c r="V8" t="str">
        <f t="shared" si="6"/>
        <v>311</v>
      </c>
      <c r="X8" t="s">
        <v>557</v>
      </c>
      <c r="Y8" t="s">
        <v>558</v>
      </c>
    </row>
    <row r="9" spans="1:25">
      <c r="A9" s="59" t="str">
        <f>IF(C9="","",VLOOKUP('Opći dio'!$C$3,'Opći dio'!$L$6:$U$135,10,0))</f>
        <v>08008</v>
      </c>
      <c r="B9" s="59" t="str">
        <f>IF(C9="","",VLOOKUP('Opći dio'!$C$3,'Opći dio'!$L$6:$U$135,9,0))</f>
        <v>Javni instituti</v>
      </c>
      <c r="C9" s="74">
        <v>11</v>
      </c>
      <c r="D9" s="59" t="str">
        <f t="shared" si="0"/>
        <v>Opći prihodi i primici</v>
      </c>
      <c r="E9" s="74">
        <v>3221</v>
      </c>
      <c r="F9" s="59" t="str">
        <f t="shared" si="1"/>
        <v>Uredski materijal i ostali materijalni rashodi</v>
      </c>
      <c r="G9" s="75" t="s">
        <v>549</v>
      </c>
      <c r="H9" s="59" t="str">
        <f t="shared" si="2"/>
        <v>PROGRAMSKO FINANCIRANJE JAVNIH ZNANSTVENIH INSTITUTA</v>
      </c>
      <c r="I9" s="64">
        <v>30200</v>
      </c>
      <c r="J9" s="64">
        <v>30200</v>
      </c>
      <c r="K9" s="64">
        <v>32000</v>
      </c>
      <c r="M9" t="str">
        <f t="shared" si="3"/>
        <v>322</v>
      </c>
      <c r="N9" t="str">
        <f t="shared" si="4"/>
        <v>32</v>
      </c>
      <c r="O9">
        <v>43</v>
      </c>
      <c r="P9" t="s">
        <v>471</v>
      </c>
      <c r="R9">
        <v>3121</v>
      </c>
      <c r="S9" t="s">
        <v>559</v>
      </c>
      <c r="U9" t="str">
        <f t="shared" si="5"/>
        <v>31</v>
      </c>
      <c r="V9" t="str">
        <f t="shared" si="6"/>
        <v>312</v>
      </c>
      <c r="X9" t="s">
        <v>560</v>
      </c>
      <c r="Y9" t="s">
        <v>561</v>
      </c>
    </row>
    <row r="10" spans="1:25">
      <c r="A10" s="59" t="str">
        <f>IF(C10="","",VLOOKUP('Opći dio'!$C$3,'Opći dio'!$L$6:$U$135,10,0))</f>
        <v>08008</v>
      </c>
      <c r="B10" s="59" t="str">
        <f>IF(C10="","",VLOOKUP('Opći dio'!$C$3,'Opći dio'!$L$6:$U$135,9,0))</f>
        <v>Javni instituti</v>
      </c>
      <c r="C10" s="74">
        <v>11</v>
      </c>
      <c r="D10" s="59" t="str">
        <f t="shared" si="0"/>
        <v>Opći prihodi i primici</v>
      </c>
      <c r="E10" s="74">
        <v>3222</v>
      </c>
      <c r="F10" s="59" t="str">
        <f t="shared" si="1"/>
        <v>Materijal i sirovine</v>
      </c>
      <c r="G10" s="75" t="s">
        <v>549</v>
      </c>
      <c r="H10" s="59" t="str">
        <f t="shared" si="2"/>
        <v>PROGRAMSKO FINANCIRANJE JAVNIH ZNANSTVENIH INSTITUTA</v>
      </c>
      <c r="I10" s="64">
        <v>17857</v>
      </c>
      <c r="J10" s="64">
        <v>10000</v>
      </c>
      <c r="K10" s="64">
        <v>17000</v>
      </c>
      <c r="M10" t="str">
        <f t="shared" si="3"/>
        <v>322</v>
      </c>
      <c r="N10" t="str">
        <f t="shared" si="4"/>
        <v>32</v>
      </c>
      <c r="O10">
        <v>51</v>
      </c>
      <c r="P10" t="s">
        <v>473</v>
      </c>
      <c r="R10" s="77">
        <v>3132</v>
      </c>
      <c r="S10" s="77" t="s">
        <v>562</v>
      </c>
      <c r="T10" s="77"/>
      <c r="U10" s="77" t="str">
        <f t="shared" si="5"/>
        <v>31</v>
      </c>
      <c r="V10" s="77" t="str">
        <f t="shared" si="6"/>
        <v>313</v>
      </c>
      <c r="X10" t="s">
        <v>563</v>
      </c>
      <c r="Y10" t="s">
        <v>564</v>
      </c>
    </row>
    <row r="11" spans="1:25">
      <c r="A11" s="59" t="str">
        <f>IF(C11="","",VLOOKUP('Opći dio'!$C$3,'Opći dio'!$L$6:$U$135,10,0))</f>
        <v>08008</v>
      </c>
      <c r="B11" s="59" t="str">
        <f>IF(C11="","",VLOOKUP('Opći dio'!$C$3,'Opći dio'!$L$6:$U$135,9,0))</f>
        <v>Javni instituti</v>
      </c>
      <c r="C11" s="74">
        <v>11</v>
      </c>
      <c r="D11" s="59" t="str">
        <f t="shared" si="0"/>
        <v>Opći prihodi i primici</v>
      </c>
      <c r="E11" s="74">
        <v>3223</v>
      </c>
      <c r="F11" s="59" t="str">
        <f t="shared" si="1"/>
        <v>Energija</v>
      </c>
      <c r="G11" s="75" t="s">
        <v>549</v>
      </c>
      <c r="H11" s="59" t="str">
        <f t="shared" si="2"/>
        <v>PROGRAMSKO FINANCIRANJE JAVNIH ZNANSTVENIH INSTITUTA</v>
      </c>
      <c r="I11" s="64">
        <v>92490</v>
      </c>
      <c r="J11" s="64">
        <v>96000</v>
      </c>
      <c r="K11" s="64">
        <v>100000</v>
      </c>
      <c r="M11" t="str">
        <f t="shared" si="3"/>
        <v>322</v>
      </c>
      <c r="N11" t="str">
        <f t="shared" si="4"/>
        <v>32</v>
      </c>
      <c r="O11">
        <v>52</v>
      </c>
      <c r="P11" t="s">
        <v>470</v>
      </c>
      <c r="R11">
        <v>3211</v>
      </c>
      <c r="S11" t="s">
        <v>565</v>
      </c>
      <c r="U11" t="str">
        <f t="shared" si="5"/>
        <v>32</v>
      </c>
      <c r="V11" t="str">
        <f t="shared" si="6"/>
        <v>321</v>
      </c>
      <c r="X11" t="s">
        <v>566</v>
      </c>
      <c r="Y11" t="s">
        <v>567</v>
      </c>
    </row>
    <row r="12" spans="1:25">
      <c r="A12" s="59" t="str">
        <f>IF(C12="","",VLOOKUP('Opći dio'!$C$3,'Opći dio'!$L$6:$U$135,10,0))</f>
        <v>08008</v>
      </c>
      <c r="B12" s="59" t="str">
        <f>IF(C12="","",VLOOKUP('Opći dio'!$C$3,'Opći dio'!$L$6:$U$135,9,0))</f>
        <v>Javni instituti</v>
      </c>
      <c r="C12" s="74">
        <v>11</v>
      </c>
      <c r="D12" s="59" t="str">
        <f t="shared" si="0"/>
        <v>Opći prihodi i primici</v>
      </c>
      <c r="E12" s="74">
        <v>3224</v>
      </c>
      <c r="F12" s="59" t="str">
        <f t="shared" si="1"/>
        <v>Materijal i dijelovi za tekuće i investicijsko održavanje</v>
      </c>
      <c r="G12" s="75" t="s">
        <v>549</v>
      </c>
      <c r="H12" s="59" t="str">
        <f t="shared" si="2"/>
        <v>PROGRAMSKO FINANCIRANJE JAVNIH ZNANSTVENIH INSTITUTA</v>
      </c>
      <c r="I12" s="64">
        <v>2579</v>
      </c>
      <c r="J12" s="64">
        <v>5000</v>
      </c>
      <c r="K12" s="64">
        <v>6000</v>
      </c>
      <c r="M12" t="str">
        <f t="shared" si="3"/>
        <v>322</v>
      </c>
      <c r="N12" t="str">
        <f t="shared" si="4"/>
        <v>32</v>
      </c>
      <c r="O12">
        <v>61</v>
      </c>
      <c r="P12" t="s">
        <v>476</v>
      </c>
      <c r="R12">
        <v>3212</v>
      </c>
      <c r="S12" t="s">
        <v>568</v>
      </c>
      <c r="U12" t="str">
        <f t="shared" si="5"/>
        <v>32</v>
      </c>
      <c r="V12" t="str">
        <f t="shared" si="6"/>
        <v>321</v>
      </c>
      <c r="X12" t="s">
        <v>569</v>
      </c>
      <c r="Y12" t="s">
        <v>570</v>
      </c>
    </row>
    <row r="13" spans="1:25">
      <c r="A13" s="59" t="str">
        <f>IF(C13="","",VLOOKUP('Opći dio'!$C$3,'Opći dio'!$L$6:$U$135,10,0))</f>
        <v>08008</v>
      </c>
      <c r="B13" s="59" t="str">
        <f>IF(C13="","",VLOOKUP('Opći dio'!$C$3,'Opći dio'!$L$6:$U$135,9,0))</f>
        <v>Javni instituti</v>
      </c>
      <c r="C13" s="74">
        <v>11</v>
      </c>
      <c r="D13" s="59" t="str">
        <f t="shared" si="0"/>
        <v>Opći prihodi i primici</v>
      </c>
      <c r="E13" s="74">
        <v>3225</v>
      </c>
      <c r="F13" s="59" t="str">
        <f t="shared" si="1"/>
        <v>Sitni inventar i auto gume</v>
      </c>
      <c r="G13" s="75" t="s">
        <v>549</v>
      </c>
      <c r="H13" s="59" t="str">
        <f t="shared" si="2"/>
        <v>PROGRAMSKO FINANCIRANJE JAVNIH ZNANSTVENIH INSTITUTA</v>
      </c>
      <c r="I13" s="64">
        <v>1907</v>
      </c>
      <c r="J13" s="64">
        <v>2000</v>
      </c>
      <c r="K13" s="64">
        <v>3400</v>
      </c>
      <c r="M13" t="str">
        <f t="shared" si="3"/>
        <v>322</v>
      </c>
      <c r="N13" t="str">
        <f t="shared" si="4"/>
        <v>32</v>
      </c>
      <c r="O13">
        <v>71</v>
      </c>
      <c r="P13" t="s">
        <v>478</v>
      </c>
      <c r="R13">
        <v>3213</v>
      </c>
      <c r="S13" t="s">
        <v>571</v>
      </c>
      <c r="U13" t="str">
        <f t="shared" si="5"/>
        <v>32</v>
      </c>
      <c r="V13" t="str">
        <f t="shared" si="6"/>
        <v>321</v>
      </c>
      <c r="X13" t="s">
        <v>572</v>
      </c>
      <c r="Y13" t="s">
        <v>573</v>
      </c>
    </row>
    <row r="14" spans="1:25">
      <c r="A14" s="59" t="str">
        <f>IF(C14="","",VLOOKUP('Opći dio'!$C$3,'Opći dio'!$L$6:$U$135,10,0))</f>
        <v>08008</v>
      </c>
      <c r="B14" s="59" t="str">
        <f>IF(C14="","",VLOOKUP('Opći dio'!$C$3,'Opći dio'!$L$6:$U$135,9,0))</f>
        <v>Javni instituti</v>
      </c>
      <c r="C14" s="74">
        <v>11</v>
      </c>
      <c r="D14" s="59" t="str">
        <f t="shared" si="0"/>
        <v>Opći prihodi i primici</v>
      </c>
      <c r="E14" s="74">
        <v>3227</v>
      </c>
      <c r="F14" s="59" t="str">
        <f t="shared" si="1"/>
        <v>Službena, radna i zaštitna odjeća i obuća</v>
      </c>
      <c r="G14" s="75" t="s">
        <v>549</v>
      </c>
      <c r="H14" s="59" t="str">
        <f t="shared" si="2"/>
        <v>PROGRAMSKO FINANCIRANJE JAVNIH ZNANSTVENIH INSTITUTA</v>
      </c>
      <c r="I14" s="64">
        <v>1163</v>
      </c>
      <c r="J14" s="64">
        <v>1500</v>
      </c>
      <c r="K14" s="64">
        <v>2000</v>
      </c>
      <c r="M14" t="str">
        <f t="shared" si="3"/>
        <v>322</v>
      </c>
      <c r="N14" t="str">
        <f t="shared" si="4"/>
        <v>32</v>
      </c>
      <c r="O14">
        <v>81</v>
      </c>
      <c r="P14" t="s">
        <v>480</v>
      </c>
      <c r="R14">
        <v>3214</v>
      </c>
      <c r="S14" t="s">
        <v>574</v>
      </c>
      <c r="U14" t="str">
        <f t="shared" si="5"/>
        <v>32</v>
      </c>
      <c r="V14" t="str">
        <f t="shared" si="6"/>
        <v>321</v>
      </c>
      <c r="X14" t="s">
        <v>575</v>
      </c>
      <c r="Y14" t="s">
        <v>576</v>
      </c>
    </row>
    <row r="15" spans="1:25">
      <c r="A15" s="59" t="str">
        <f>IF(C15="","",VLOOKUP('Opći dio'!$C$3,'Opći dio'!$L$6:$U$135,10,0))</f>
        <v>08008</v>
      </c>
      <c r="B15" s="59" t="str">
        <f>IF(C15="","",VLOOKUP('Opći dio'!$C$3,'Opći dio'!$L$6:$U$135,9,0))</f>
        <v>Javni instituti</v>
      </c>
      <c r="C15" s="74">
        <v>11</v>
      </c>
      <c r="D15" s="59" t="str">
        <f t="shared" si="0"/>
        <v>Opći prihodi i primici</v>
      </c>
      <c r="E15" s="74">
        <v>3231</v>
      </c>
      <c r="F15" s="59" t="str">
        <f t="shared" si="1"/>
        <v>Usluge telefona, pošte i prijevoza</v>
      </c>
      <c r="G15" s="75" t="s">
        <v>549</v>
      </c>
      <c r="H15" s="59" t="str">
        <f t="shared" si="2"/>
        <v>PROGRAMSKO FINANCIRANJE JAVNIH ZNANSTVENIH INSTITUTA</v>
      </c>
      <c r="I15" s="64">
        <v>45407</v>
      </c>
      <c r="J15" s="64">
        <v>45000</v>
      </c>
      <c r="K15" s="64">
        <v>48000</v>
      </c>
      <c r="M15" t="str">
        <f t="shared" si="3"/>
        <v>323</v>
      </c>
      <c r="N15" t="str">
        <f t="shared" si="4"/>
        <v>32</v>
      </c>
      <c r="O15">
        <v>561</v>
      </c>
      <c r="P15" t="s">
        <v>482</v>
      </c>
      <c r="R15">
        <v>3221</v>
      </c>
      <c r="S15" t="s">
        <v>577</v>
      </c>
      <c r="U15" t="str">
        <f t="shared" si="5"/>
        <v>32</v>
      </c>
      <c r="V15" t="str">
        <f t="shared" si="6"/>
        <v>322</v>
      </c>
      <c r="X15" t="s">
        <v>578</v>
      </c>
      <c r="Y15" t="s">
        <v>579</v>
      </c>
    </row>
    <row r="16" spans="1:25">
      <c r="A16" s="59" t="str">
        <f>IF(C16="","",VLOOKUP('Opći dio'!$C$3,'Opći dio'!$L$6:$U$135,10,0))</f>
        <v>08008</v>
      </c>
      <c r="B16" s="59" t="str">
        <f>IF(C16="","",VLOOKUP('Opći dio'!$C$3,'Opći dio'!$L$6:$U$135,9,0))</f>
        <v>Javni instituti</v>
      </c>
      <c r="C16" s="74">
        <v>11</v>
      </c>
      <c r="D16" s="59" t="str">
        <f t="shared" si="0"/>
        <v>Opći prihodi i primici</v>
      </c>
      <c r="E16" s="74">
        <v>3232</v>
      </c>
      <c r="F16" s="59" t="str">
        <f t="shared" si="1"/>
        <v>Usluge tekućeg i investicijskog održavanja</v>
      </c>
      <c r="G16" s="75" t="s">
        <v>549</v>
      </c>
      <c r="H16" s="59" t="str">
        <f t="shared" si="2"/>
        <v>PROGRAMSKO FINANCIRANJE JAVNIH ZNANSTVENIH INSTITUTA</v>
      </c>
      <c r="I16" s="64">
        <v>2374</v>
      </c>
      <c r="J16" s="64">
        <v>5000</v>
      </c>
      <c r="K16" s="64">
        <v>10000</v>
      </c>
      <c r="M16" t="str">
        <f t="shared" si="3"/>
        <v>323</v>
      </c>
      <c r="N16" t="str">
        <f t="shared" si="4"/>
        <v>32</v>
      </c>
      <c r="O16">
        <v>563</v>
      </c>
      <c r="P16" t="s">
        <v>484</v>
      </c>
      <c r="R16">
        <v>3222</v>
      </c>
      <c r="S16" t="s">
        <v>580</v>
      </c>
      <c r="U16" t="str">
        <f t="shared" si="5"/>
        <v>32</v>
      </c>
      <c r="V16" t="str">
        <f t="shared" si="6"/>
        <v>322</v>
      </c>
      <c r="X16" t="s">
        <v>581</v>
      </c>
      <c r="Y16" t="s">
        <v>582</v>
      </c>
    </row>
    <row r="17" spans="1:25">
      <c r="A17" s="59" t="str">
        <f>IF(C17="","",VLOOKUP('Opći dio'!$C$3,'Opći dio'!$L$6:$U$135,10,0))</f>
        <v>08008</v>
      </c>
      <c r="B17" s="59" t="str">
        <f>IF(C17="","",VLOOKUP('Opći dio'!$C$3,'Opći dio'!$L$6:$U$135,9,0))</f>
        <v>Javni instituti</v>
      </c>
      <c r="C17" s="74">
        <v>11</v>
      </c>
      <c r="D17" s="59" t="str">
        <f t="shared" si="0"/>
        <v>Opći prihodi i primici</v>
      </c>
      <c r="E17" s="74">
        <v>3233</v>
      </c>
      <c r="F17" s="59" t="str">
        <f t="shared" si="1"/>
        <v>Usluge promidžbe i informiranja</v>
      </c>
      <c r="G17" s="75" t="s">
        <v>549</v>
      </c>
      <c r="H17" s="59" t="str">
        <f t="shared" si="2"/>
        <v>PROGRAMSKO FINANCIRANJE JAVNIH ZNANSTVENIH INSTITUTA</v>
      </c>
      <c r="I17" s="64">
        <v>16696</v>
      </c>
      <c r="J17" s="64">
        <v>17000</v>
      </c>
      <c r="K17" s="64">
        <v>20000</v>
      </c>
      <c r="M17" t="str">
        <f t="shared" si="3"/>
        <v>323</v>
      </c>
      <c r="N17" t="str">
        <f t="shared" si="4"/>
        <v>32</v>
      </c>
      <c r="R17">
        <v>3223</v>
      </c>
      <c r="S17" t="s">
        <v>583</v>
      </c>
      <c r="U17" t="str">
        <f t="shared" si="5"/>
        <v>32</v>
      </c>
      <c r="V17" t="str">
        <f t="shared" si="6"/>
        <v>322</v>
      </c>
      <c r="X17" t="s">
        <v>584</v>
      </c>
      <c r="Y17" t="s">
        <v>585</v>
      </c>
    </row>
    <row r="18" spans="1:25">
      <c r="A18" s="59" t="str">
        <f>IF(C18="","",VLOOKUP('Opći dio'!$C$3,'Opći dio'!$L$6:$U$135,10,0))</f>
        <v>08008</v>
      </c>
      <c r="B18" s="59" t="str">
        <f>IF(C18="","",VLOOKUP('Opći dio'!$C$3,'Opći dio'!$L$6:$U$135,9,0))</f>
        <v>Javni instituti</v>
      </c>
      <c r="C18" s="74">
        <v>11</v>
      </c>
      <c r="D18" s="59" t="str">
        <f t="shared" si="0"/>
        <v>Opći prihodi i primici</v>
      </c>
      <c r="E18" s="74">
        <v>3234</v>
      </c>
      <c r="F18" s="59" t="str">
        <f t="shared" si="1"/>
        <v>Komunalne usluge</v>
      </c>
      <c r="G18" s="75" t="s">
        <v>549</v>
      </c>
      <c r="H18" s="59" t="str">
        <f t="shared" si="2"/>
        <v>PROGRAMSKO FINANCIRANJE JAVNIH ZNANSTVENIH INSTITUTA</v>
      </c>
      <c r="I18" s="64">
        <v>42099</v>
      </c>
      <c r="J18" s="64">
        <v>45000</v>
      </c>
      <c r="K18" s="64">
        <v>50000</v>
      </c>
      <c r="M18" t="str">
        <f t="shared" si="3"/>
        <v>323</v>
      </c>
      <c r="N18" t="str">
        <f t="shared" si="4"/>
        <v>32</v>
      </c>
      <c r="R18">
        <v>3224</v>
      </c>
      <c r="S18" t="s">
        <v>586</v>
      </c>
      <c r="U18" t="str">
        <f t="shared" si="5"/>
        <v>32</v>
      </c>
      <c r="V18" t="str">
        <f t="shared" si="6"/>
        <v>322</v>
      </c>
      <c r="X18" t="s">
        <v>587</v>
      </c>
      <c r="Y18" t="s">
        <v>588</v>
      </c>
    </row>
    <row r="19" spans="1:25">
      <c r="A19" s="59" t="str">
        <f>IF(C19="","",VLOOKUP('Opći dio'!$C$3,'Opći dio'!$L$6:$U$135,10,0))</f>
        <v>08008</v>
      </c>
      <c r="B19" s="59" t="str">
        <f>IF(C19="","",VLOOKUP('Opći dio'!$C$3,'Opći dio'!$L$6:$U$135,9,0))</f>
        <v>Javni instituti</v>
      </c>
      <c r="C19" s="74">
        <v>11</v>
      </c>
      <c r="D19" s="59" t="str">
        <f t="shared" si="0"/>
        <v>Opći prihodi i primici</v>
      </c>
      <c r="E19" s="74">
        <v>3235</v>
      </c>
      <c r="F19" s="59" t="str">
        <f t="shared" si="1"/>
        <v>Zakupnine i najamnine</v>
      </c>
      <c r="G19" s="75" t="s">
        <v>549</v>
      </c>
      <c r="H19" s="59" t="str">
        <f t="shared" si="2"/>
        <v>PROGRAMSKO FINANCIRANJE JAVNIH ZNANSTVENIH INSTITUTA</v>
      </c>
      <c r="I19" s="64">
        <v>290406</v>
      </c>
      <c r="J19" s="64">
        <v>304000</v>
      </c>
      <c r="K19" s="64">
        <v>310000</v>
      </c>
      <c r="M19" t="str">
        <f t="shared" si="3"/>
        <v>323</v>
      </c>
      <c r="N19" t="str">
        <f t="shared" si="4"/>
        <v>32</v>
      </c>
      <c r="R19">
        <v>3225</v>
      </c>
      <c r="S19" t="s">
        <v>589</v>
      </c>
      <c r="U19" t="str">
        <f t="shared" si="5"/>
        <v>32</v>
      </c>
      <c r="V19" t="str">
        <f t="shared" si="6"/>
        <v>322</v>
      </c>
      <c r="X19" t="s">
        <v>590</v>
      </c>
      <c r="Y19" t="s">
        <v>591</v>
      </c>
    </row>
    <row r="20" spans="1:25">
      <c r="A20" s="59" t="str">
        <f>IF(C20="","",VLOOKUP('Opći dio'!$C$3,'Opći dio'!$L$6:$U$135,10,0))</f>
        <v>08008</v>
      </c>
      <c r="B20" s="59" t="str">
        <f>IF(C20="","",VLOOKUP('Opći dio'!$C$3,'Opći dio'!$L$6:$U$135,9,0))</f>
        <v>Javni instituti</v>
      </c>
      <c r="C20" s="74">
        <v>11</v>
      </c>
      <c r="D20" s="59" t="str">
        <f t="shared" si="0"/>
        <v>Opći prihodi i primici</v>
      </c>
      <c r="E20" s="74">
        <v>3236</v>
      </c>
      <c r="F20" s="59" t="str">
        <f t="shared" si="1"/>
        <v>Zdravstvene i veterinarske usluge</v>
      </c>
      <c r="G20" s="75" t="s">
        <v>549</v>
      </c>
      <c r="H20" s="59" t="str">
        <f t="shared" si="2"/>
        <v>PROGRAMSKO FINANCIRANJE JAVNIH ZNANSTVENIH INSTITUTA</v>
      </c>
      <c r="I20" s="64">
        <v>5058</v>
      </c>
      <c r="J20" s="64">
        <v>6000</v>
      </c>
      <c r="K20" s="64">
        <v>10000</v>
      </c>
      <c r="M20" t="str">
        <f t="shared" si="3"/>
        <v>323</v>
      </c>
      <c r="N20" t="str">
        <f t="shared" si="4"/>
        <v>32</v>
      </c>
      <c r="R20">
        <v>3226</v>
      </c>
      <c r="S20" t="s">
        <v>592</v>
      </c>
      <c r="U20" t="str">
        <f t="shared" si="5"/>
        <v>32</v>
      </c>
      <c r="V20" t="str">
        <f t="shared" si="6"/>
        <v>322</v>
      </c>
      <c r="X20" t="s">
        <v>593</v>
      </c>
      <c r="Y20" t="s">
        <v>594</v>
      </c>
    </row>
    <row r="21" spans="1:25">
      <c r="A21" s="59" t="str">
        <f>IF(C21="","",VLOOKUP('Opći dio'!$C$3,'Opći dio'!$L$6:$U$135,10,0))</f>
        <v>08008</v>
      </c>
      <c r="B21" s="59" t="str">
        <f>IF(C21="","",VLOOKUP('Opći dio'!$C$3,'Opći dio'!$L$6:$U$135,9,0))</f>
        <v>Javni instituti</v>
      </c>
      <c r="C21" s="74">
        <v>11</v>
      </c>
      <c r="D21" s="59" t="str">
        <f t="shared" si="0"/>
        <v>Opći prihodi i primici</v>
      </c>
      <c r="E21" s="74">
        <v>3237</v>
      </c>
      <c r="F21" s="59" t="str">
        <f t="shared" si="1"/>
        <v>Intelektualne i osobne usluge</v>
      </c>
      <c r="G21" s="75" t="s">
        <v>549</v>
      </c>
      <c r="H21" s="59" t="str">
        <f t="shared" si="2"/>
        <v>PROGRAMSKO FINANCIRANJE JAVNIH ZNANSTVENIH INSTITUTA</v>
      </c>
      <c r="I21" s="64">
        <v>67519</v>
      </c>
      <c r="J21" s="64">
        <v>68000</v>
      </c>
      <c r="K21" s="64">
        <v>70000</v>
      </c>
      <c r="M21" t="str">
        <f t="shared" si="3"/>
        <v>323</v>
      </c>
      <c r="N21" t="str">
        <f t="shared" si="4"/>
        <v>32</v>
      </c>
      <c r="R21">
        <v>3227</v>
      </c>
      <c r="S21" t="s">
        <v>595</v>
      </c>
      <c r="U21" t="str">
        <f t="shared" si="5"/>
        <v>32</v>
      </c>
      <c r="V21" t="str">
        <f t="shared" si="6"/>
        <v>322</v>
      </c>
      <c r="X21" t="s">
        <v>596</v>
      </c>
      <c r="Y21" t="s">
        <v>597</v>
      </c>
    </row>
    <row r="22" spans="1:25">
      <c r="A22" s="59" t="str">
        <f>IF(C22="","",VLOOKUP('Opći dio'!$C$3,'Opći dio'!$L$6:$U$135,10,0))</f>
        <v>08008</v>
      </c>
      <c r="B22" s="59" t="str">
        <f>IF(C22="","",VLOOKUP('Opći dio'!$C$3,'Opći dio'!$L$6:$U$135,9,0))</f>
        <v>Javni instituti</v>
      </c>
      <c r="C22" s="74">
        <v>11</v>
      </c>
      <c r="D22" s="59" t="str">
        <f t="shared" si="0"/>
        <v>Opći prihodi i primici</v>
      </c>
      <c r="E22" s="74">
        <v>3238</v>
      </c>
      <c r="F22" s="59" t="str">
        <f t="shared" si="1"/>
        <v>Računalne usluge</v>
      </c>
      <c r="G22" s="75" t="s">
        <v>549</v>
      </c>
      <c r="H22" s="59" t="str">
        <f t="shared" si="2"/>
        <v>PROGRAMSKO FINANCIRANJE JAVNIH ZNANSTVENIH INSTITUTA</v>
      </c>
      <c r="I22" s="64">
        <v>23365</v>
      </c>
      <c r="J22" s="64">
        <v>25000</v>
      </c>
      <c r="K22" s="64">
        <v>28088</v>
      </c>
      <c r="M22" t="str">
        <f t="shared" si="3"/>
        <v>323</v>
      </c>
      <c r="N22" t="str">
        <f t="shared" si="4"/>
        <v>32</v>
      </c>
      <c r="R22">
        <v>3231</v>
      </c>
      <c r="S22" t="s">
        <v>598</v>
      </c>
      <c r="U22" t="str">
        <f t="shared" si="5"/>
        <v>32</v>
      </c>
      <c r="V22" t="str">
        <f t="shared" si="6"/>
        <v>323</v>
      </c>
      <c r="X22" t="s">
        <v>599</v>
      </c>
      <c r="Y22" t="s">
        <v>600</v>
      </c>
    </row>
    <row r="23" spans="1:25">
      <c r="A23" s="59" t="str">
        <f>IF(C23="","",VLOOKUP('Opći dio'!$C$3,'Opći dio'!$L$6:$U$135,10,0))</f>
        <v>08008</v>
      </c>
      <c r="B23" s="59" t="str">
        <f>IF(C23="","",VLOOKUP('Opći dio'!$C$3,'Opći dio'!$L$6:$U$135,9,0))</f>
        <v>Javni instituti</v>
      </c>
      <c r="C23" s="74">
        <v>11</v>
      </c>
      <c r="D23" s="59" t="str">
        <f t="shared" si="0"/>
        <v>Opći prihodi i primici</v>
      </c>
      <c r="E23" s="74">
        <v>3239</v>
      </c>
      <c r="F23" s="59" t="str">
        <f t="shared" si="1"/>
        <v>Ostale usluge</v>
      </c>
      <c r="G23" s="75" t="s">
        <v>549</v>
      </c>
      <c r="H23" s="59" t="str">
        <f t="shared" si="2"/>
        <v>PROGRAMSKO FINANCIRANJE JAVNIH ZNANSTVENIH INSTITUTA</v>
      </c>
      <c r="I23" s="64">
        <v>41645</v>
      </c>
      <c r="J23" s="64">
        <v>45314</v>
      </c>
      <c r="K23" s="64">
        <v>50000</v>
      </c>
      <c r="M23" t="str">
        <f t="shared" si="3"/>
        <v>323</v>
      </c>
      <c r="N23" t="str">
        <f t="shared" si="4"/>
        <v>32</v>
      </c>
      <c r="R23">
        <v>3232</v>
      </c>
      <c r="S23" t="s">
        <v>601</v>
      </c>
      <c r="U23" t="str">
        <f t="shared" si="5"/>
        <v>32</v>
      </c>
      <c r="V23" t="str">
        <f t="shared" si="6"/>
        <v>323</v>
      </c>
      <c r="X23" t="s">
        <v>602</v>
      </c>
      <c r="Y23" t="s">
        <v>603</v>
      </c>
    </row>
    <row r="24" spans="1:25">
      <c r="A24" s="59" t="str">
        <f>IF(C24="","",VLOOKUP('Opći dio'!$C$3,'Opći dio'!$L$6:$U$135,10,0))</f>
        <v>08008</v>
      </c>
      <c r="B24" s="59" t="str">
        <f>IF(C24="","",VLOOKUP('Opći dio'!$C$3,'Opći dio'!$L$6:$U$135,9,0))</f>
        <v>Javni instituti</v>
      </c>
      <c r="C24" s="74">
        <v>11</v>
      </c>
      <c r="D24" s="59" t="str">
        <f t="shared" si="0"/>
        <v>Opći prihodi i primici</v>
      </c>
      <c r="E24" s="74">
        <v>3241</v>
      </c>
      <c r="F24" s="59" t="str">
        <f t="shared" si="1"/>
        <v>Naknade troškova osobama izvan radnog odnosa</v>
      </c>
      <c r="G24" s="75" t="s">
        <v>549</v>
      </c>
      <c r="H24" s="59" t="str">
        <f t="shared" si="2"/>
        <v>PROGRAMSKO FINANCIRANJE JAVNIH ZNANSTVENIH INSTITUTA</v>
      </c>
      <c r="I24" s="64">
        <v>1512</v>
      </c>
      <c r="J24" s="64">
        <v>2000</v>
      </c>
      <c r="K24" s="64">
        <v>3000</v>
      </c>
      <c r="M24" t="str">
        <f t="shared" si="3"/>
        <v>324</v>
      </c>
      <c r="N24" t="str">
        <f t="shared" si="4"/>
        <v>32</v>
      </c>
      <c r="R24">
        <v>3233</v>
      </c>
      <c r="S24" t="s">
        <v>604</v>
      </c>
      <c r="U24" t="str">
        <f t="shared" si="5"/>
        <v>32</v>
      </c>
      <c r="V24" t="str">
        <f t="shared" si="6"/>
        <v>323</v>
      </c>
      <c r="X24" t="s">
        <v>605</v>
      </c>
      <c r="Y24" t="s">
        <v>606</v>
      </c>
    </row>
    <row r="25" spans="1:25">
      <c r="A25" s="59" t="str">
        <f>IF(C25="","",VLOOKUP('Opći dio'!$C$3,'Opći dio'!$L$6:$U$135,10,0))</f>
        <v>08008</v>
      </c>
      <c r="B25" s="59" t="str">
        <f>IF(C25="","",VLOOKUP('Opći dio'!$C$3,'Opći dio'!$L$6:$U$135,9,0))</f>
        <v>Javni instituti</v>
      </c>
      <c r="C25" s="74">
        <v>11</v>
      </c>
      <c r="D25" s="59" t="str">
        <f t="shared" si="0"/>
        <v>Opći prihodi i primici</v>
      </c>
      <c r="E25" s="74">
        <v>3291</v>
      </c>
      <c r="F25" s="59" t="str">
        <f t="shared" si="1"/>
        <v>Naknade za rad predstavničkih i izvršnih tijela, povjerensta</v>
      </c>
      <c r="G25" s="75" t="s">
        <v>549</v>
      </c>
      <c r="H25" s="59" t="str">
        <f t="shared" si="2"/>
        <v>PROGRAMSKO FINANCIRANJE JAVNIH ZNANSTVENIH INSTITUTA</v>
      </c>
      <c r="I25" s="64">
        <v>8514</v>
      </c>
      <c r="J25" s="64">
        <v>9000</v>
      </c>
      <c r="K25" s="64">
        <v>9000</v>
      </c>
      <c r="M25" t="str">
        <f t="shared" si="3"/>
        <v>329</v>
      </c>
      <c r="N25" t="str">
        <f t="shared" si="4"/>
        <v>32</v>
      </c>
      <c r="R25">
        <v>3234</v>
      </c>
      <c r="S25" t="s">
        <v>607</v>
      </c>
      <c r="U25" t="str">
        <f t="shared" si="5"/>
        <v>32</v>
      </c>
      <c r="V25" t="str">
        <f t="shared" si="6"/>
        <v>323</v>
      </c>
      <c r="X25" t="s">
        <v>608</v>
      </c>
      <c r="Y25" t="s">
        <v>609</v>
      </c>
    </row>
    <row r="26" spans="1:25">
      <c r="A26" s="59" t="str">
        <f>IF(C26="","",VLOOKUP('Opći dio'!$C$3,'Opći dio'!$L$6:$U$135,10,0))</f>
        <v>08008</v>
      </c>
      <c r="B26" s="59" t="str">
        <f>IF(C26="","",VLOOKUP('Opći dio'!$C$3,'Opći dio'!$L$6:$U$135,9,0))</f>
        <v>Javni instituti</v>
      </c>
      <c r="C26" s="74">
        <v>11</v>
      </c>
      <c r="D26" s="59" t="str">
        <f t="shared" si="0"/>
        <v>Opći prihodi i primici</v>
      </c>
      <c r="E26" s="74">
        <v>3292</v>
      </c>
      <c r="F26" s="59" t="str">
        <f t="shared" si="1"/>
        <v>Premije osiguranja</v>
      </c>
      <c r="G26" s="75" t="s">
        <v>549</v>
      </c>
      <c r="H26" s="59" t="str">
        <f t="shared" si="2"/>
        <v>PROGRAMSKO FINANCIRANJE JAVNIH ZNANSTVENIH INSTITUTA</v>
      </c>
      <c r="I26" s="64">
        <v>3150</v>
      </c>
      <c r="J26" s="64">
        <v>3500</v>
      </c>
      <c r="K26" s="64">
        <v>5000</v>
      </c>
      <c r="M26" t="str">
        <f t="shared" si="3"/>
        <v>329</v>
      </c>
      <c r="N26" t="str">
        <f t="shared" si="4"/>
        <v>32</v>
      </c>
      <c r="R26">
        <v>3235</v>
      </c>
      <c r="S26" t="s">
        <v>610</v>
      </c>
      <c r="U26" t="str">
        <f t="shared" si="5"/>
        <v>32</v>
      </c>
      <c r="V26" t="str">
        <f t="shared" si="6"/>
        <v>323</v>
      </c>
      <c r="X26" t="s">
        <v>611</v>
      </c>
      <c r="Y26" t="s">
        <v>612</v>
      </c>
    </row>
    <row r="27" spans="1:25">
      <c r="A27" s="59" t="str">
        <f>IF(C27="","",VLOOKUP('Opći dio'!$C$3,'Opći dio'!$L$6:$U$135,10,0))</f>
        <v>08008</v>
      </c>
      <c r="B27" s="59" t="str">
        <f>IF(C27="","",VLOOKUP('Opći dio'!$C$3,'Opći dio'!$L$6:$U$135,9,0))</f>
        <v>Javni instituti</v>
      </c>
      <c r="C27" s="74">
        <v>11</v>
      </c>
      <c r="D27" s="59" t="str">
        <f t="shared" si="0"/>
        <v>Opći prihodi i primici</v>
      </c>
      <c r="E27" s="74">
        <v>3293</v>
      </c>
      <c r="F27" s="59" t="str">
        <f t="shared" si="1"/>
        <v>Reprezentacija</v>
      </c>
      <c r="G27" s="75" t="s">
        <v>549</v>
      </c>
      <c r="H27" s="59" t="str">
        <f t="shared" si="2"/>
        <v>PROGRAMSKO FINANCIRANJE JAVNIH ZNANSTVENIH INSTITUTA</v>
      </c>
      <c r="I27" s="64">
        <v>2236</v>
      </c>
      <c r="J27" s="64">
        <v>2500</v>
      </c>
      <c r="K27" s="64">
        <v>2500</v>
      </c>
      <c r="M27" t="str">
        <f t="shared" si="3"/>
        <v>329</v>
      </c>
      <c r="N27" t="str">
        <f t="shared" si="4"/>
        <v>32</v>
      </c>
      <c r="R27">
        <v>3236</v>
      </c>
      <c r="S27" t="s">
        <v>613</v>
      </c>
      <c r="U27" t="str">
        <f t="shared" si="5"/>
        <v>32</v>
      </c>
      <c r="V27" t="str">
        <f t="shared" si="6"/>
        <v>323</v>
      </c>
      <c r="X27" t="s">
        <v>614</v>
      </c>
      <c r="Y27" t="s">
        <v>615</v>
      </c>
    </row>
    <row r="28" spans="1:25">
      <c r="A28" s="59" t="str">
        <f>IF(C28="","",VLOOKUP('Opći dio'!$C$3,'Opći dio'!$L$6:$U$135,10,0))</f>
        <v>08008</v>
      </c>
      <c r="B28" s="59" t="str">
        <f>IF(C28="","",VLOOKUP('Opći dio'!$C$3,'Opći dio'!$L$6:$U$135,9,0))</f>
        <v>Javni instituti</v>
      </c>
      <c r="C28" s="74">
        <v>11</v>
      </c>
      <c r="D28" s="59" t="str">
        <f t="shared" si="0"/>
        <v>Opći prihodi i primici</v>
      </c>
      <c r="E28" s="74">
        <v>3294</v>
      </c>
      <c r="F28" s="59" t="str">
        <f t="shared" si="1"/>
        <v>Članarine i norme</v>
      </c>
      <c r="G28" s="75" t="s">
        <v>549</v>
      </c>
      <c r="H28" s="59" t="str">
        <f t="shared" si="2"/>
        <v>PROGRAMSKO FINANCIRANJE JAVNIH ZNANSTVENIH INSTITUTA</v>
      </c>
      <c r="I28" s="64">
        <v>3686</v>
      </c>
      <c r="J28" s="64">
        <v>4000</v>
      </c>
      <c r="K28" s="64">
        <v>5000</v>
      </c>
      <c r="M28" t="str">
        <f t="shared" si="3"/>
        <v>329</v>
      </c>
      <c r="N28" t="str">
        <f t="shared" si="4"/>
        <v>32</v>
      </c>
      <c r="R28">
        <v>3237</v>
      </c>
      <c r="S28" t="s">
        <v>616</v>
      </c>
      <c r="U28" t="str">
        <f t="shared" si="5"/>
        <v>32</v>
      </c>
      <c r="V28" t="str">
        <f t="shared" si="6"/>
        <v>323</v>
      </c>
      <c r="X28" t="s">
        <v>617</v>
      </c>
      <c r="Y28" t="s">
        <v>618</v>
      </c>
    </row>
    <row r="29" spans="1:25">
      <c r="A29" s="59" t="str">
        <f>IF(C29="","",VLOOKUP('Opći dio'!$C$3,'Opći dio'!$L$6:$U$135,10,0))</f>
        <v>08008</v>
      </c>
      <c r="B29" s="59" t="str">
        <f>IF(C29="","",VLOOKUP('Opći dio'!$C$3,'Opći dio'!$L$6:$U$135,9,0))</f>
        <v>Javni instituti</v>
      </c>
      <c r="C29" s="74">
        <v>11</v>
      </c>
      <c r="D29" s="59" t="str">
        <f t="shared" si="0"/>
        <v>Opći prihodi i primici</v>
      </c>
      <c r="E29" s="74">
        <v>3299</v>
      </c>
      <c r="F29" s="59" t="str">
        <f t="shared" si="1"/>
        <v>Ostali nespomenuti rashodi poslovanja</v>
      </c>
      <c r="G29" s="75" t="s">
        <v>549</v>
      </c>
      <c r="H29" s="59" t="str">
        <f t="shared" si="2"/>
        <v>PROGRAMSKO FINANCIRANJE JAVNIH ZNANSTVENIH INSTITUTA</v>
      </c>
      <c r="I29" s="64">
        <v>8471</v>
      </c>
      <c r="J29" s="64">
        <v>8000</v>
      </c>
      <c r="K29" s="64">
        <v>8000</v>
      </c>
      <c r="M29" t="str">
        <f t="shared" si="3"/>
        <v>329</v>
      </c>
      <c r="N29" t="str">
        <f t="shared" si="4"/>
        <v>32</v>
      </c>
      <c r="R29">
        <v>3238</v>
      </c>
      <c r="S29" t="s">
        <v>619</v>
      </c>
      <c r="U29" t="str">
        <f t="shared" si="5"/>
        <v>32</v>
      </c>
      <c r="V29" t="str">
        <f t="shared" si="6"/>
        <v>323</v>
      </c>
      <c r="X29" t="s">
        <v>620</v>
      </c>
      <c r="Y29" t="s">
        <v>621</v>
      </c>
    </row>
    <row r="30" spans="1:25">
      <c r="A30" s="59" t="str">
        <f>IF(C30="","",VLOOKUP('Opći dio'!$C$3,'Opći dio'!$L$6:$U$135,10,0))</f>
        <v>08008</v>
      </c>
      <c r="B30" s="59" t="str">
        <f>IF(C30="","",VLOOKUP('Opći dio'!$C$3,'Opći dio'!$L$6:$U$135,9,0))</f>
        <v>Javni instituti</v>
      </c>
      <c r="C30" s="74">
        <v>31</v>
      </c>
      <c r="D30" s="59" t="str">
        <f t="shared" si="0"/>
        <v>Vlastiti prihodi</v>
      </c>
      <c r="E30" s="74">
        <v>3237</v>
      </c>
      <c r="F30" s="59" t="str">
        <f t="shared" si="1"/>
        <v>Intelektualne i osobne usluge</v>
      </c>
      <c r="G30" s="75" t="s">
        <v>622</v>
      </c>
      <c r="H30" s="59" t="str">
        <f t="shared" si="2"/>
        <v>REDOVNA DJELATNOST JAVNIH INSTITUTA (IZ EVIDENCIJSKIH PRIHODA)</v>
      </c>
      <c r="I30" s="64">
        <v>5000</v>
      </c>
      <c r="J30" s="64">
        <v>5400</v>
      </c>
      <c r="K30" s="64">
        <v>5400</v>
      </c>
      <c r="M30" t="str">
        <f t="shared" si="3"/>
        <v>323</v>
      </c>
      <c r="N30" t="str">
        <f t="shared" si="4"/>
        <v>32</v>
      </c>
      <c r="R30">
        <v>3239</v>
      </c>
      <c r="S30" t="s">
        <v>623</v>
      </c>
      <c r="U30" t="str">
        <f t="shared" si="5"/>
        <v>32</v>
      </c>
      <c r="V30" t="str">
        <f t="shared" si="6"/>
        <v>323</v>
      </c>
      <c r="X30" t="s">
        <v>624</v>
      </c>
      <c r="Y30" t="s">
        <v>625</v>
      </c>
    </row>
    <row r="31" spans="1:25">
      <c r="A31" s="59" t="str">
        <f>IF(C31="","",VLOOKUP('Opći dio'!$C$3,'Opći dio'!$L$6:$U$135,10,0))</f>
        <v>08008</v>
      </c>
      <c r="B31" s="59" t="str">
        <f>IF(C31="","",VLOOKUP('Opći dio'!$C$3,'Opći dio'!$L$6:$U$135,9,0))</f>
        <v>Javni instituti</v>
      </c>
      <c r="C31" s="74">
        <v>31</v>
      </c>
      <c r="D31" s="59" t="str">
        <f t="shared" si="0"/>
        <v>Vlastiti prihodi</v>
      </c>
      <c r="E31" s="74">
        <v>3239</v>
      </c>
      <c r="F31" s="59" t="str">
        <f t="shared" si="1"/>
        <v>Ostale usluge</v>
      </c>
      <c r="G31" s="75" t="s">
        <v>622</v>
      </c>
      <c r="H31" s="59" t="str">
        <f t="shared" si="2"/>
        <v>REDOVNA DJELATNOST JAVNIH INSTITUTA (IZ EVIDENCIJSKIH PRIHODA)</v>
      </c>
      <c r="I31" s="64">
        <v>3000</v>
      </c>
      <c r="J31" s="64">
        <v>3000</v>
      </c>
      <c r="K31" s="64">
        <v>3300</v>
      </c>
      <c r="M31" t="str">
        <f t="shared" si="3"/>
        <v>323</v>
      </c>
      <c r="N31" t="str">
        <f t="shared" si="4"/>
        <v>32</v>
      </c>
      <c r="R31">
        <v>3241</v>
      </c>
      <c r="S31" t="s">
        <v>626</v>
      </c>
      <c r="U31" t="str">
        <f t="shared" si="5"/>
        <v>32</v>
      </c>
      <c r="V31" t="str">
        <f t="shared" si="6"/>
        <v>324</v>
      </c>
      <c r="X31" t="s">
        <v>627</v>
      </c>
      <c r="Y31" t="s">
        <v>628</v>
      </c>
    </row>
    <row r="32" spans="1:25">
      <c r="A32" s="59" t="str">
        <f>IF(C32="","",VLOOKUP('Opći dio'!$C$3,'Opći dio'!$L$6:$U$135,10,0))</f>
        <v>08008</v>
      </c>
      <c r="B32" s="59" t="str">
        <f>IF(C32="","",VLOOKUP('Opći dio'!$C$3,'Opći dio'!$L$6:$U$135,9,0))</f>
        <v>Javni instituti</v>
      </c>
      <c r="C32" s="74">
        <v>31</v>
      </c>
      <c r="D32" s="59" t="str">
        <f t="shared" si="0"/>
        <v>Vlastiti prihodi</v>
      </c>
      <c r="E32" s="74">
        <v>3241</v>
      </c>
      <c r="F32" s="59" t="str">
        <f t="shared" si="1"/>
        <v>Naknade troškova osobama izvan radnog odnosa</v>
      </c>
      <c r="G32" s="75" t="s">
        <v>622</v>
      </c>
      <c r="H32" s="59" t="str">
        <f t="shared" si="2"/>
        <v>REDOVNA DJELATNOST JAVNIH INSTITUTA (IZ EVIDENCIJSKIH PRIHODA)</v>
      </c>
      <c r="I32" s="64">
        <v>4300</v>
      </c>
      <c r="J32" s="64">
        <v>4300</v>
      </c>
      <c r="K32" s="64">
        <v>4300</v>
      </c>
      <c r="M32" t="str">
        <f t="shared" si="3"/>
        <v>324</v>
      </c>
      <c r="N32" t="str">
        <f t="shared" si="4"/>
        <v>32</v>
      </c>
      <c r="R32">
        <v>3291</v>
      </c>
      <c r="S32" t="s">
        <v>629</v>
      </c>
      <c r="U32" t="str">
        <f t="shared" si="5"/>
        <v>32</v>
      </c>
      <c r="V32" t="str">
        <f t="shared" si="6"/>
        <v>329</v>
      </c>
      <c r="X32" t="s">
        <v>630</v>
      </c>
      <c r="Y32" t="s">
        <v>631</v>
      </c>
    </row>
    <row r="33" spans="1:25">
      <c r="A33" s="59" t="str">
        <f>IF(C33="","",VLOOKUP('Opći dio'!$C$3,'Opći dio'!$L$6:$U$135,10,0))</f>
        <v>08008</v>
      </c>
      <c r="B33" s="59" t="str">
        <f>IF(C33="","",VLOOKUP('Opći dio'!$C$3,'Opći dio'!$L$6:$U$135,9,0))</f>
        <v>Javni instituti</v>
      </c>
      <c r="C33" s="74">
        <v>61</v>
      </c>
      <c r="D33" s="59" t="str">
        <f t="shared" si="0"/>
        <v>Donacije</v>
      </c>
      <c r="E33" s="74">
        <v>3237</v>
      </c>
      <c r="F33" s="59" t="str">
        <f t="shared" si="1"/>
        <v>Intelektualne i osobne usluge</v>
      </c>
      <c r="G33" s="75" t="s">
        <v>622</v>
      </c>
      <c r="H33" s="59" t="str">
        <f t="shared" si="2"/>
        <v>REDOVNA DJELATNOST JAVNIH INSTITUTA (IZ EVIDENCIJSKIH PRIHODA)</v>
      </c>
      <c r="I33" s="64">
        <v>14000</v>
      </c>
      <c r="J33" s="64">
        <v>17000</v>
      </c>
      <c r="K33" s="64">
        <v>19000</v>
      </c>
      <c r="M33" t="str">
        <f t="shared" si="3"/>
        <v>323</v>
      </c>
      <c r="N33" t="str">
        <f t="shared" si="4"/>
        <v>32</v>
      </c>
      <c r="R33">
        <v>3292</v>
      </c>
      <c r="S33" t="s">
        <v>632</v>
      </c>
      <c r="U33" t="str">
        <f t="shared" si="5"/>
        <v>32</v>
      </c>
      <c r="V33" t="str">
        <f t="shared" si="6"/>
        <v>329</v>
      </c>
      <c r="X33" t="s">
        <v>633</v>
      </c>
      <c r="Y33" t="s">
        <v>634</v>
      </c>
    </row>
    <row r="34" spans="1:25">
      <c r="A34" s="59" t="str">
        <f>IF(C34="","",VLOOKUP('Opći dio'!$C$3,'Opći dio'!$L$6:$U$135,10,0))</f>
        <v>08008</v>
      </c>
      <c r="B34" s="59" t="str">
        <f>IF(C34="","",VLOOKUP('Opći dio'!$C$3,'Opći dio'!$L$6:$U$135,9,0))</f>
        <v>Javni instituti</v>
      </c>
      <c r="C34" s="74">
        <v>52</v>
      </c>
      <c r="D34" s="59" t="str">
        <f t="shared" si="0"/>
        <v>Ostale pomoći</v>
      </c>
      <c r="E34" s="74">
        <v>3237</v>
      </c>
      <c r="F34" s="59" t="str">
        <f t="shared" si="1"/>
        <v>Intelektualne i osobne usluge</v>
      </c>
      <c r="G34" s="75" t="s">
        <v>549</v>
      </c>
      <c r="H34" s="59" t="str">
        <f t="shared" si="2"/>
        <v>PROGRAMSKO FINANCIRANJE JAVNIH ZNANSTVENIH INSTITUTA</v>
      </c>
      <c r="I34" s="64">
        <v>50000</v>
      </c>
      <c r="J34" s="64">
        <v>50000</v>
      </c>
      <c r="K34" s="64">
        <v>50000</v>
      </c>
      <c r="M34" t="str">
        <f t="shared" si="3"/>
        <v>323</v>
      </c>
      <c r="N34" t="str">
        <f t="shared" si="4"/>
        <v>32</v>
      </c>
      <c r="R34">
        <v>3293</v>
      </c>
      <c r="S34" t="s">
        <v>635</v>
      </c>
      <c r="U34" t="str">
        <f t="shared" si="5"/>
        <v>32</v>
      </c>
      <c r="V34" t="str">
        <f t="shared" si="6"/>
        <v>329</v>
      </c>
      <c r="X34" t="s">
        <v>636</v>
      </c>
      <c r="Y34" t="s">
        <v>637</v>
      </c>
    </row>
    <row r="35" spans="1:25">
      <c r="A35" s="59" t="str">
        <f>IF(C35="","",VLOOKUP('Opći dio'!$C$3,'Opći dio'!$L$6:$U$135,10,0))</f>
        <v/>
      </c>
      <c r="B35" s="59" t="str">
        <f>IF(C35="","",VLOOKUP('Opći dio'!$C$3,'Opći dio'!$L$6:$U$135,9,0))</f>
        <v/>
      </c>
      <c r="C35" s="74"/>
      <c r="D35" s="59" t="str">
        <f t="shared" si="0"/>
        <v/>
      </c>
      <c r="E35" s="74"/>
      <c r="F35" s="59" t="str">
        <f t="shared" si="1"/>
        <v/>
      </c>
      <c r="G35" s="75"/>
      <c r="H35" s="59" t="str">
        <f t="shared" si="2"/>
        <v/>
      </c>
      <c r="I35" s="64"/>
      <c r="J35" s="64"/>
      <c r="K35" s="64"/>
      <c r="M35" t="str">
        <f t="shared" si="3"/>
        <v/>
      </c>
      <c r="N35" t="str">
        <f t="shared" si="4"/>
        <v/>
      </c>
      <c r="R35">
        <v>3293</v>
      </c>
      <c r="S35" t="s">
        <v>638</v>
      </c>
      <c r="U35" t="str">
        <f t="shared" si="5"/>
        <v>32</v>
      </c>
      <c r="V35" t="str">
        <f t="shared" si="6"/>
        <v>329</v>
      </c>
      <c r="X35" t="s">
        <v>639</v>
      </c>
      <c r="Y35" t="s">
        <v>640</v>
      </c>
    </row>
    <row r="36" spans="1:25">
      <c r="A36" s="59" t="str">
        <f>IF(C36="","",VLOOKUP('Opći dio'!$C$3,'Opći dio'!$L$6:$U$135,10,0))</f>
        <v/>
      </c>
      <c r="B36" s="59" t="str">
        <f>IF(C36="","",VLOOKUP('Opći dio'!$C$3,'Opći dio'!$L$6:$U$135,9,0))</f>
        <v/>
      </c>
      <c r="C36" s="74"/>
      <c r="D36" s="59" t="str">
        <f t="shared" si="0"/>
        <v/>
      </c>
      <c r="E36" s="74"/>
      <c r="F36" s="59" t="str">
        <f t="shared" si="1"/>
        <v/>
      </c>
      <c r="G36" s="75"/>
      <c r="H36" s="59" t="str">
        <f t="shared" si="2"/>
        <v/>
      </c>
      <c r="I36" s="64"/>
      <c r="J36" s="64"/>
      <c r="K36" s="64"/>
      <c r="M36" t="str">
        <f t="shared" si="3"/>
        <v/>
      </c>
      <c r="N36" t="str">
        <f t="shared" si="4"/>
        <v/>
      </c>
      <c r="R36">
        <v>3294</v>
      </c>
      <c r="S36" t="s">
        <v>641</v>
      </c>
      <c r="U36" t="str">
        <f t="shared" si="5"/>
        <v>32</v>
      </c>
      <c r="V36" t="str">
        <f t="shared" si="6"/>
        <v>329</v>
      </c>
      <c r="X36" t="s">
        <v>642</v>
      </c>
      <c r="Y36" t="s">
        <v>643</v>
      </c>
    </row>
    <row r="37" spans="1:25">
      <c r="A37" s="59" t="str">
        <f>IF(C37="","",VLOOKUP('Opći dio'!$C$3,'Opći dio'!$L$6:$U$135,10,0))</f>
        <v/>
      </c>
      <c r="B37" s="59" t="str">
        <f>IF(C37="","",VLOOKUP('Opći dio'!$C$3,'Opći dio'!$L$6:$U$135,9,0))</f>
        <v/>
      </c>
      <c r="C37" s="74"/>
      <c r="D37" s="59" t="str">
        <f t="shared" si="0"/>
        <v/>
      </c>
      <c r="E37" s="74"/>
      <c r="F37" s="59" t="str">
        <f t="shared" si="1"/>
        <v/>
      </c>
      <c r="G37" s="75"/>
      <c r="H37" s="59" t="str">
        <f t="shared" si="2"/>
        <v/>
      </c>
      <c r="I37" s="64"/>
      <c r="J37" s="64"/>
      <c r="K37" s="64"/>
      <c r="M37" t="str">
        <f t="shared" si="3"/>
        <v/>
      </c>
      <c r="N37" t="str">
        <f t="shared" si="4"/>
        <v/>
      </c>
      <c r="R37">
        <v>3295</v>
      </c>
      <c r="S37" t="s">
        <v>644</v>
      </c>
      <c r="U37" t="str">
        <f t="shared" ref="U37:U68" si="7">LEFT(R37,2)</f>
        <v>32</v>
      </c>
      <c r="V37" t="str">
        <f t="shared" ref="V37:V68" si="8">LEFT(R37,3)</f>
        <v>329</v>
      </c>
      <c r="X37" t="s">
        <v>645</v>
      </c>
      <c r="Y37" t="s">
        <v>646</v>
      </c>
    </row>
    <row r="38" spans="1:25">
      <c r="A38" s="59" t="str">
        <f>IF(C38="","",VLOOKUP('Opći dio'!$C$3,'Opći dio'!$L$6:$U$135,10,0))</f>
        <v/>
      </c>
      <c r="B38" s="59" t="str">
        <f>IF(C38="","",VLOOKUP('Opći dio'!$C$3,'Opći dio'!$L$6:$U$135,9,0))</f>
        <v/>
      </c>
      <c r="C38" s="74"/>
      <c r="D38" s="59" t="str">
        <f t="shared" si="0"/>
        <v/>
      </c>
      <c r="E38" s="74"/>
      <c r="F38" s="59" t="str">
        <f t="shared" si="1"/>
        <v/>
      </c>
      <c r="G38" s="75"/>
      <c r="H38" s="59" t="str">
        <f t="shared" si="2"/>
        <v/>
      </c>
      <c r="I38" s="64"/>
      <c r="J38" s="64"/>
      <c r="K38" s="64"/>
      <c r="M38" t="str">
        <f t="shared" si="3"/>
        <v/>
      </c>
      <c r="N38" t="str">
        <f t="shared" si="4"/>
        <v/>
      </c>
      <c r="R38">
        <v>3296</v>
      </c>
      <c r="S38" t="s">
        <v>647</v>
      </c>
      <c r="U38" t="str">
        <f t="shared" si="7"/>
        <v>32</v>
      </c>
      <c r="V38" t="str">
        <f t="shared" si="8"/>
        <v>329</v>
      </c>
      <c r="X38" t="s">
        <v>648</v>
      </c>
      <c r="Y38" t="s">
        <v>649</v>
      </c>
    </row>
    <row r="39" spans="1:25">
      <c r="A39" s="59" t="str">
        <f>IF(C39="","",VLOOKUP('Opći dio'!$C$3,'Opći dio'!$L$6:$U$135,10,0))</f>
        <v/>
      </c>
      <c r="B39" s="59" t="str">
        <f>IF(C39="","",VLOOKUP('Opći dio'!$C$3,'Opći dio'!$L$6:$U$135,9,0))</f>
        <v/>
      </c>
      <c r="C39" s="74"/>
      <c r="D39" s="59" t="str">
        <f t="shared" si="0"/>
        <v/>
      </c>
      <c r="E39" s="74"/>
      <c r="F39" s="59" t="str">
        <f t="shared" si="1"/>
        <v/>
      </c>
      <c r="G39" s="75"/>
      <c r="H39" s="59" t="str">
        <f t="shared" si="2"/>
        <v/>
      </c>
      <c r="I39" s="64"/>
      <c r="J39" s="64"/>
      <c r="K39" s="64"/>
      <c r="M39" t="str">
        <f t="shared" si="3"/>
        <v/>
      </c>
      <c r="N39" t="str">
        <f t="shared" si="4"/>
        <v/>
      </c>
      <c r="R39">
        <v>3299</v>
      </c>
      <c r="S39" t="s">
        <v>650</v>
      </c>
      <c r="U39" t="str">
        <f t="shared" si="7"/>
        <v>32</v>
      </c>
      <c r="V39" t="str">
        <f t="shared" si="8"/>
        <v>329</v>
      </c>
      <c r="X39" t="s">
        <v>651</v>
      </c>
      <c r="Y39" t="s">
        <v>652</v>
      </c>
    </row>
    <row r="40" spans="1:25">
      <c r="A40" s="59" t="str">
        <f>IF(C40="","",VLOOKUP('Opći dio'!$C$3,'Opći dio'!$L$6:$U$135,10,0))</f>
        <v/>
      </c>
      <c r="B40" s="59" t="str">
        <f>IF(C40="","",VLOOKUP('Opći dio'!$C$3,'Opći dio'!$L$6:$U$135,9,0))</f>
        <v/>
      </c>
      <c r="C40" s="74"/>
      <c r="D40" s="59" t="str">
        <f t="shared" si="0"/>
        <v/>
      </c>
      <c r="E40" s="74"/>
      <c r="F40" s="59" t="str">
        <f t="shared" si="1"/>
        <v/>
      </c>
      <c r="G40" s="75"/>
      <c r="H40" s="59" t="str">
        <f t="shared" si="2"/>
        <v/>
      </c>
      <c r="I40" s="64"/>
      <c r="J40" s="64"/>
      <c r="K40" s="64"/>
      <c r="M40" t="str">
        <f t="shared" si="3"/>
        <v/>
      </c>
      <c r="N40" t="str">
        <f t="shared" si="4"/>
        <v/>
      </c>
      <c r="R40">
        <v>3411</v>
      </c>
      <c r="S40" t="s">
        <v>653</v>
      </c>
      <c r="U40" t="str">
        <f t="shared" si="7"/>
        <v>34</v>
      </c>
      <c r="V40" t="str">
        <f t="shared" si="8"/>
        <v>341</v>
      </c>
      <c r="X40" t="s">
        <v>654</v>
      </c>
      <c r="Y40" t="s">
        <v>655</v>
      </c>
    </row>
    <row r="41" spans="1:25">
      <c r="A41" s="59" t="str">
        <f>IF(C41="","",VLOOKUP('Opći dio'!$C$3,'Opći dio'!$L$6:$U$135,10,0))</f>
        <v/>
      </c>
      <c r="B41" s="59" t="str">
        <f>IF(C41="","",VLOOKUP('Opći dio'!$C$3,'Opći dio'!$L$6:$U$135,9,0))</f>
        <v/>
      </c>
      <c r="C41" s="74"/>
      <c r="D41" s="59" t="str">
        <f t="shared" si="0"/>
        <v/>
      </c>
      <c r="E41" s="74"/>
      <c r="F41" s="59" t="str">
        <f t="shared" si="1"/>
        <v/>
      </c>
      <c r="G41" s="75"/>
      <c r="H41" s="59" t="str">
        <f t="shared" si="2"/>
        <v/>
      </c>
      <c r="I41" s="64"/>
      <c r="J41" s="64"/>
      <c r="K41" s="64"/>
      <c r="M41" t="str">
        <f t="shared" si="3"/>
        <v/>
      </c>
      <c r="N41" t="str">
        <f t="shared" si="4"/>
        <v/>
      </c>
      <c r="R41">
        <v>3422</v>
      </c>
      <c r="S41" t="s">
        <v>656</v>
      </c>
      <c r="U41" t="str">
        <f t="shared" si="7"/>
        <v>34</v>
      </c>
      <c r="V41" t="str">
        <f t="shared" si="8"/>
        <v>342</v>
      </c>
      <c r="X41" t="s">
        <v>657</v>
      </c>
      <c r="Y41" t="s">
        <v>658</v>
      </c>
    </row>
    <row r="42" spans="1:25">
      <c r="A42" s="59" t="str">
        <f>IF(C42="","",VLOOKUP('Opći dio'!$C$3,'Opći dio'!$L$6:$U$135,10,0))</f>
        <v/>
      </c>
      <c r="B42" s="59" t="str">
        <f>IF(C42="","",VLOOKUP('Opći dio'!$C$3,'Opći dio'!$L$6:$U$135,9,0))</f>
        <v/>
      </c>
      <c r="C42" s="74"/>
      <c r="D42" s="59" t="str">
        <f t="shared" si="0"/>
        <v/>
      </c>
      <c r="E42" s="74"/>
      <c r="F42" s="59" t="str">
        <f t="shared" si="1"/>
        <v/>
      </c>
      <c r="G42" s="75"/>
      <c r="H42" s="59" t="str">
        <f t="shared" si="2"/>
        <v/>
      </c>
      <c r="I42" s="64"/>
      <c r="J42" s="64"/>
      <c r="K42" s="64"/>
      <c r="M42" t="str">
        <f t="shared" si="3"/>
        <v/>
      </c>
      <c r="N42" t="str">
        <f t="shared" si="4"/>
        <v/>
      </c>
      <c r="R42">
        <v>3423</v>
      </c>
      <c r="S42" t="s">
        <v>656</v>
      </c>
      <c r="U42" t="str">
        <f t="shared" si="7"/>
        <v>34</v>
      </c>
      <c r="V42" t="str">
        <f t="shared" si="8"/>
        <v>342</v>
      </c>
      <c r="X42" t="s">
        <v>659</v>
      </c>
      <c r="Y42" t="s">
        <v>660</v>
      </c>
    </row>
    <row r="43" spans="1:25">
      <c r="A43" s="59" t="str">
        <f>IF(C43="","",VLOOKUP('Opći dio'!$C$3,'Opći dio'!$L$6:$U$135,10,0))</f>
        <v/>
      </c>
      <c r="B43" s="59" t="str">
        <f>IF(C43="","",VLOOKUP('Opći dio'!$C$3,'Opći dio'!$L$6:$U$135,9,0))</f>
        <v/>
      </c>
      <c r="C43" s="74"/>
      <c r="D43" s="59" t="str">
        <f t="shared" si="0"/>
        <v/>
      </c>
      <c r="E43" s="74"/>
      <c r="F43" s="59" t="str">
        <f t="shared" si="1"/>
        <v/>
      </c>
      <c r="G43" s="75"/>
      <c r="H43" s="59" t="str">
        <f t="shared" si="2"/>
        <v/>
      </c>
      <c r="I43" s="64"/>
      <c r="J43" s="64"/>
      <c r="K43" s="64"/>
      <c r="M43" t="str">
        <f t="shared" si="3"/>
        <v/>
      </c>
      <c r="N43" t="str">
        <f t="shared" si="4"/>
        <v/>
      </c>
      <c r="R43">
        <v>3427</v>
      </c>
      <c r="S43" t="s">
        <v>661</v>
      </c>
      <c r="U43" t="str">
        <f t="shared" si="7"/>
        <v>34</v>
      </c>
      <c r="V43" t="str">
        <f t="shared" si="8"/>
        <v>342</v>
      </c>
      <c r="X43" t="s">
        <v>662</v>
      </c>
      <c r="Y43" t="s">
        <v>663</v>
      </c>
    </row>
    <row r="44" spans="1:25">
      <c r="A44" s="59" t="str">
        <f>IF(C44="","",VLOOKUP('Opći dio'!$C$3,'Opći dio'!$L$6:$U$135,10,0))</f>
        <v/>
      </c>
      <c r="B44" s="59" t="str">
        <f>IF(C44="","",VLOOKUP('Opći dio'!$C$3,'Opći dio'!$L$6:$U$135,9,0))</f>
        <v/>
      </c>
      <c r="C44" s="74"/>
      <c r="D44" s="59" t="str">
        <f t="shared" si="0"/>
        <v/>
      </c>
      <c r="E44" s="74"/>
      <c r="F44" s="59" t="str">
        <f t="shared" si="1"/>
        <v/>
      </c>
      <c r="G44" s="75"/>
      <c r="H44" s="59" t="str">
        <f t="shared" si="2"/>
        <v/>
      </c>
      <c r="I44" s="64"/>
      <c r="J44" s="64"/>
      <c r="K44" s="64"/>
      <c r="M44" t="str">
        <f t="shared" si="3"/>
        <v/>
      </c>
      <c r="N44" t="str">
        <f t="shared" si="4"/>
        <v/>
      </c>
      <c r="R44">
        <v>3431</v>
      </c>
      <c r="S44" t="s">
        <v>664</v>
      </c>
      <c r="U44" t="str">
        <f t="shared" si="7"/>
        <v>34</v>
      </c>
      <c r="V44" t="str">
        <f t="shared" si="8"/>
        <v>343</v>
      </c>
      <c r="X44" t="s">
        <v>546</v>
      </c>
      <c r="Y44" t="s">
        <v>665</v>
      </c>
    </row>
    <row r="45" spans="1:25">
      <c r="A45" s="59" t="str">
        <f>IF(C45="","",VLOOKUP('Opći dio'!$C$3,'Opći dio'!$L$6:$U$135,10,0))</f>
        <v/>
      </c>
      <c r="B45" s="59" t="str">
        <f>IF(C45="","",VLOOKUP('Opći dio'!$C$3,'Opći dio'!$L$6:$U$135,9,0))</f>
        <v/>
      </c>
      <c r="C45" s="74"/>
      <c r="D45" s="59" t="str">
        <f t="shared" si="0"/>
        <v/>
      </c>
      <c r="E45" s="74"/>
      <c r="F45" s="59" t="str">
        <f t="shared" si="1"/>
        <v/>
      </c>
      <c r="G45" s="75"/>
      <c r="H45" s="59" t="str">
        <f t="shared" si="2"/>
        <v/>
      </c>
      <c r="I45" s="64"/>
      <c r="J45" s="64"/>
      <c r="K45" s="64"/>
      <c r="M45" t="str">
        <f t="shared" si="3"/>
        <v/>
      </c>
      <c r="N45" t="str">
        <f t="shared" si="4"/>
        <v/>
      </c>
      <c r="R45">
        <v>3432</v>
      </c>
      <c r="S45" t="s">
        <v>666</v>
      </c>
      <c r="U45" t="str">
        <f t="shared" si="7"/>
        <v>34</v>
      </c>
      <c r="V45" t="str">
        <f t="shared" si="8"/>
        <v>343</v>
      </c>
      <c r="X45" t="s">
        <v>667</v>
      </c>
      <c r="Y45" t="s">
        <v>668</v>
      </c>
    </row>
    <row r="46" spans="1:25">
      <c r="A46" s="59" t="str">
        <f>IF(C46="","",VLOOKUP('Opći dio'!$C$3,'Opći dio'!$L$6:$U$135,10,0))</f>
        <v/>
      </c>
      <c r="B46" s="59" t="str">
        <f>IF(C46="","",VLOOKUP('Opći dio'!$C$3,'Opći dio'!$L$6:$U$135,9,0))</f>
        <v/>
      </c>
      <c r="C46" s="74"/>
      <c r="D46" s="59" t="str">
        <f t="shared" si="0"/>
        <v/>
      </c>
      <c r="E46" s="74"/>
      <c r="F46" s="59" t="str">
        <f t="shared" si="1"/>
        <v/>
      </c>
      <c r="G46" s="75"/>
      <c r="H46" s="59" t="str">
        <f t="shared" si="2"/>
        <v/>
      </c>
      <c r="I46" s="64"/>
      <c r="J46" s="64"/>
      <c r="K46" s="64"/>
      <c r="M46" t="str">
        <f t="shared" si="3"/>
        <v/>
      </c>
      <c r="N46" t="str">
        <f t="shared" si="4"/>
        <v/>
      </c>
      <c r="R46">
        <v>3433</v>
      </c>
      <c r="S46" t="s">
        <v>669</v>
      </c>
      <c r="U46" t="str">
        <f t="shared" si="7"/>
        <v>34</v>
      </c>
      <c r="V46" t="str">
        <f t="shared" si="8"/>
        <v>343</v>
      </c>
      <c r="X46" t="s">
        <v>670</v>
      </c>
      <c r="Y46" t="s">
        <v>671</v>
      </c>
    </row>
    <row r="47" spans="1:25">
      <c r="A47" s="59" t="str">
        <f>IF(C47="","",VLOOKUP('Opći dio'!$C$3,'Opći dio'!$L$6:$U$135,10,0))</f>
        <v/>
      </c>
      <c r="B47" s="59" t="str">
        <f>IF(C47="","",VLOOKUP('Opći dio'!$C$3,'Opći dio'!$L$6:$U$135,9,0))</f>
        <v/>
      </c>
      <c r="C47" s="74"/>
      <c r="D47" s="59" t="str">
        <f t="shared" si="0"/>
        <v/>
      </c>
      <c r="E47" s="74"/>
      <c r="F47" s="59" t="str">
        <f t="shared" si="1"/>
        <v/>
      </c>
      <c r="G47" s="75"/>
      <c r="H47" s="59" t="str">
        <f t="shared" si="2"/>
        <v/>
      </c>
      <c r="I47" s="64"/>
      <c r="J47" s="64"/>
      <c r="K47" s="64"/>
      <c r="M47" t="str">
        <f t="shared" si="3"/>
        <v/>
      </c>
      <c r="N47" t="str">
        <f t="shared" si="4"/>
        <v/>
      </c>
      <c r="R47">
        <v>3434</v>
      </c>
      <c r="S47" t="s">
        <v>672</v>
      </c>
      <c r="U47" t="str">
        <f t="shared" si="7"/>
        <v>34</v>
      </c>
      <c r="V47" t="str">
        <f t="shared" si="8"/>
        <v>343</v>
      </c>
      <c r="X47" t="s">
        <v>673</v>
      </c>
      <c r="Y47" t="s">
        <v>674</v>
      </c>
    </row>
    <row r="48" spans="1:25">
      <c r="A48" s="59" t="str">
        <f>IF(C48="","",VLOOKUP('Opći dio'!$C$3,'Opći dio'!$L$6:$U$135,10,0))</f>
        <v/>
      </c>
      <c r="B48" s="59" t="str">
        <f>IF(C48="","",VLOOKUP('Opći dio'!$C$3,'Opći dio'!$L$6:$U$135,9,0))</f>
        <v/>
      </c>
      <c r="C48" s="74"/>
      <c r="D48" s="59" t="str">
        <f t="shared" si="0"/>
        <v/>
      </c>
      <c r="E48" s="74"/>
      <c r="F48" s="59" t="str">
        <f t="shared" si="1"/>
        <v/>
      </c>
      <c r="G48" s="75"/>
      <c r="H48" s="59" t="str">
        <f t="shared" si="2"/>
        <v/>
      </c>
      <c r="I48" s="64"/>
      <c r="J48" s="64"/>
      <c r="K48" s="64"/>
      <c r="M48" t="str">
        <f t="shared" si="3"/>
        <v/>
      </c>
      <c r="N48" t="str">
        <f t="shared" si="4"/>
        <v/>
      </c>
      <c r="R48">
        <v>3511</v>
      </c>
      <c r="S48" t="s">
        <v>675</v>
      </c>
      <c r="U48" t="str">
        <f t="shared" si="7"/>
        <v>35</v>
      </c>
      <c r="V48" t="str">
        <f t="shared" si="8"/>
        <v>351</v>
      </c>
      <c r="X48" t="s">
        <v>622</v>
      </c>
      <c r="Y48" t="s">
        <v>676</v>
      </c>
    </row>
    <row r="49" spans="1:25">
      <c r="A49" s="59" t="str">
        <f>IF(C49="","",VLOOKUP('Opći dio'!$C$3,'Opći dio'!$L$6:$U$135,10,0))</f>
        <v/>
      </c>
      <c r="B49" s="59" t="str">
        <f>IF(C49="","",VLOOKUP('Opći dio'!$C$3,'Opći dio'!$L$6:$U$135,9,0))</f>
        <v/>
      </c>
      <c r="C49" s="74"/>
      <c r="D49" s="59" t="str">
        <f t="shared" si="0"/>
        <v/>
      </c>
      <c r="E49" s="74"/>
      <c r="F49" s="59" t="str">
        <f t="shared" si="1"/>
        <v/>
      </c>
      <c r="G49" s="75"/>
      <c r="H49" s="59" t="str">
        <f t="shared" si="2"/>
        <v/>
      </c>
      <c r="I49" s="64"/>
      <c r="J49" s="64"/>
      <c r="K49" s="64"/>
      <c r="M49" t="str">
        <f t="shared" si="3"/>
        <v/>
      </c>
      <c r="N49" t="str">
        <f t="shared" si="4"/>
        <v/>
      </c>
      <c r="R49">
        <v>3512</v>
      </c>
      <c r="S49" t="s">
        <v>677</v>
      </c>
      <c r="U49" t="str">
        <f t="shared" si="7"/>
        <v>35</v>
      </c>
      <c r="V49" t="str">
        <f t="shared" si="8"/>
        <v>351</v>
      </c>
      <c r="X49" t="s">
        <v>549</v>
      </c>
      <c r="Y49" t="s">
        <v>678</v>
      </c>
    </row>
    <row r="50" spans="1:25">
      <c r="A50" s="59" t="str">
        <f>IF(C50="","",VLOOKUP('Opći dio'!$C$3,'Opći dio'!$L$6:$U$135,10,0))</f>
        <v/>
      </c>
      <c r="B50" s="59" t="str">
        <f>IF(C50="","",VLOOKUP('Opći dio'!$C$3,'Opći dio'!$L$6:$U$135,9,0))</f>
        <v/>
      </c>
      <c r="C50" s="74"/>
      <c r="D50" s="59" t="str">
        <f t="shared" si="0"/>
        <v/>
      </c>
      <c r="E50" s="74"/>
      <c r="F50" s="59" t="str">
        <f t="shared" si="1"/>
        <v/>
      </c>
      <c r="G50" s="75"/>
      <c r="H50" s="59" t="str">
        <f t="shared" si="2"/>
        <v/>
      </c>
      <c r="I50" s="64"/>
      <c r="J50" s="64"/>
      <c r="K50" s="64"/>
      <c r="M50" t="str">
        <f t="shared" si="3"/>
        <v/>
      </c>
      <c r="N50" t="str">
        <f t="shared" si="4"/>
        <v/>
      </c>
      <c r="R50">
        <v>3522</v>
      </c>
      <c r="S50" t="s">
        <v>679</v>
      </c>
      <c r="U50" t="str">
        <f t="shared" si="7"/>
        <v>35</v>
      </c>
      <c r="V50" t="str">
        <f t="shared" si="8"/>
        <v>352</v>
      </c>
      <c r="X50" t="s">
        <v>680</v>
      </c>
      <c r="Y50" t="s">
        <v>658</v>
      </c>
    </row>
    <row r="51" spans="1:25">
      <c r="A51" s="59" t="str">
        <f>IF(C51="","",VLOOKUP('Opći dio'!$C$3,'Opći dio'!$L$6:$U$135,10,0))</f>
        <v/>
      </c>
      <c r="B51" s="59" t="str">
        <f>IF(C51="","",VLOOKUP('Opći dio'!$C$3,'Opći dio'!$L$6:$U$135,9,0))</f>
        <v/>
      </c>
      <c r="C51" s="74"/>
      <c r="D51" s="59" t="str">
        <f t="shared" si="0"/>
        <v/>
      </c>
      <c r="E51" s="74"/>
      <c r="F51" s="59" t="str">
        <f t="shared" si="1"/>
        <v/>
      </c>
      <c r="G51" s="75"/>
      <c r="H51" s="59" t="str">
        <f t="shared" si="2"/>
        <v/>
      </c>
      <c r="I51" s="64"/>
      <c r="J51" s="64"/>
      <c r="K51" s="64"/>
      <c r="M51" t="str">
        <f t="shared" si="3"/>
        <v/>
      </c>
      <c r="N51" t="str">
        <f t="shared" si="4"/>
        <v/>
      </c>
      <c r="R51">
        <v>3531</v>
      </c>
      <c r="S51" t="s">
        <v>681</v>
      </c>
      <c r="U51" t="str">
        <f t="shared" si="7"/>
        <v>35</v>
      </c>
      <c r="V51" t="str">
        <f t="shared" si="8"/>
        <v>353</v>
      </c>
    </row>
    <row r="52" spans="1:25">
      <c r="A52" s="59" t="str">
        <f>IF(C52="","",VLOOKUP('Opći dio'!$C$3,'Opći dio'!$L$6:$U$135,10,0))</f>
        <v/>
      </c>
      <c r="B52" s="59" t="str">
        <f>IF(C52="","",VLOOKUP('Opći dio'!$C$3,'Opći dio'!$L$6:$U$135,9,0))</f>
        <v/>
      </c>
      <c r="C52" s="74"/>
      <c r="D52" s="59" t="str">
        <f t="shared" si="0"/>
        <v/>
      </c>
      <c r="E52" s="74"/>
      <c r="F52" s="59" t="str">
        <f t="shared" si="1"/>
        <v/>
      </c>
      <c r="G52" s="75"/>
      <c r="H52" s="59" t="str">
        <f t="shared" si="2"/>
        <v/>
      </c>
      <c r="I52" s="64"/>
      <c r="J52" s="64"/>
      <c r="K52" s="64"/>
      <c r="M52" t="str">
        <f t="shared" si="3"/>
        <v/>
      </c>
      <c r="N52" t="str">
        <f t="shared" si="4"/>
        <v/>
      </c>
      <c r="R52">
        <v>3611</v>
      </c>
      <c r="S52" t="s">
        <v>682</v>
      </c>
      <c r="U52" t="str">
        <f t="shared" si="7"/>
        <v>36</v>
      </c>
      <c r="V52" t="str">
        <f t="shared" si="8"/>
        <v>361</v>
      </c>
    </row>
    <row r="53" spans="1:25">
      <c r="A53" s="59" t="str">
        <f>IF(C53="","",VLOOKUP('Opći dio'!$C$3,'Opći dio'!$L$6:$U$135,10,0))</f>
        <v/>
      </c>
      <c r="B53" s="59" t="str">
        <f>IF(C53="","",VLOOKUP('Opći dio'!$C$3,'Opći dio'!$L$6:$U$135,9,0))</f>
        <v/>
      </c>
      <c r="C53" s="74"/>
      <c r="D53" s="59" t="str">
        <f t="shared" si="0"/>
        <v/>
      </c>
      <c r="E53" s="74"/>
      <c r="F53" s="59" t="str">
        <f t="shared" si="1"/>
        <v/>
      </c>
      <c r="G53" s="75"/>
      <c r="H53" s="59" t="str">
        <f t="shared" si="2"/>
        <v/>
      </c>
      <c r="I53" s="64"/>
      <c r="J53" s="64"/>
      <c r="K53" s="64"/>
      <c r="M53" t="str">
        <f t="shared" si="3"/>
        <v/>
      </c>
      <c r="N53" t="str">
        <f t="shared" si="4"/>
        <v/>
      </c>
      <c r="R53">
        <v>3621</v>
      </c>
      <c r="S53" t="s">
        <v>683</v>
      </c>
      <c r="U53" t="str">
        <f t="shared" si="7"/>
        <v>36</v>
      </c>
      <c r="V53" t="str">
        <f t="shared" si="8"/>
        <v>362</v>
      </c>
    </row>
    <row r="54" spans="1:25">
      <c r="A54" s="59" t="str">
        <f>IF(C54="","",VLOOKUP('Opći dio'!$C$3,'Opći dio'!$L$6:$U$135,10,0))</f>
        <v/>
      </c>
      <c r="B54" s="59" t="str">
        <f>IF(C54="","",VLOOKUP('Opći dio'!$C$3,'Opći dio'!$L$6:$U$135,9,0))</f>
        <v/>
      </c>
      <c r="C54" s="74"/>
      <c r="D54" s="59" t="str">
        <f t="shared" si="0"/>
        <v/>
      </c>
      <c r="E54" s="74"/>
      <c r="F54" s="59" t="str">
        <f t="shared" si="1"/>
        <v/>
      </c>
      <c r="G54" s="75"/>
      <c r="H54" s="59" t="str">
        <f t="shared" si="2"/>
        <v/>
      </c>
      <c r="I54" s="64"/>
      <c r="J54" s="64"/>
      <c r="K54" s="64"/>
      <c r="M54" t="str">
        <f t="shared" si="3"/>
        <v/>
      </c>
      <c r="N54" t="str">
        <f t="shared" si="4"/>
        <v/>
      </c>
      <c r="R54">
        <v>3631</v>
      </c>
      <c r="S54" t="s">
        <v>684</v>
      </c>
      <c r="U54" t="str">
        <f t="shared" si="7"/>
        <v>36</v>
      </c>
      <c r="V54" t="str">
        <f t="shared" si="8"/>
        <v>363</v>
      </c>
    </row>
    <row r="55" spans="1:25">
      <c r="A55" s="59" t="str">
        <f>IF(C55="","",VLOOKUP('Opći dio'!$C$3,'Opći dio'!$L$6:$U$135,10,0))</f>
        <v/>
      </c>
      <c r="B55" s="59" t="str">
        <f>IF(C55="","",VLOOKUP('Opći dio'!$C$3,'Opći dio'!$L$6:$U$135,9,0))</f>
        <v/>
      </c>
      <c r="C55" s="74"/>
      <c r="D55" s="59" t="str">
        <f t="shared" si="0"/>
        <v/>
      </c>
      <c r="E55" s="74"/>
      <c r="F55" s="59" t="str">
        <f t="shared" si="1"/>
        <v/>
      </c>
      <c r="G55" s="75"/>
      <c r="H55" s="59" t="str">
        <f t="shared" si="2"/>
        <v/>
      </c>
      <c r="I55" s="64"/>
      <c r="J55" s="64"/>
      <c r="K55" s="64"/>
      <c r="M55" t="str">
        <f t="shared" si="3"/>
        <v/>
      </c>
      <c r="N55" t="str">
        <f t="shared" si="4"/>
        <v/>
      </c>
      <c r="R55">
        <v>3632</v>
      </c>
      <c r="S55" t="s">
        <v>685</v>
      </c>
      <c r="U55" t="str">
        <f t="shared" si="7"/>
        <v>36</v>
      </c>
      <c r="V55" t="str">
        <f t="shared" si="8"/>
        <v>363</v>
      </c>
    </row>
    <row r="56" spans="1:25">
      <c r="A56" s="59" t="str">
        <f>IF(C56="","",VLOOKUP('Opći dio'!$C$3,'Opći dio'!$L$6:$U$135,10,0))</f>
        <v/>
      </c>
      <c r="B56" s="59" t="str">
        <f>IF(C56="","",VLOOKUP('Opći dio'!$C$3,'Opći dio'!$L$6:$U$135,9,0))</f>
        <v/>
      </c>
      <c r="C56" s="74"/>
      <c r="D56" s="59" t="str">
        <f t="shared" si="0"/>
        <v/>
      </c>
      <c r="E56" s="74"/>
      <c r="F56" s="59" t="str">
        <f t="shared" si="1"/>
        <v/>
      </c>
      <c r="G56" s="75"/>
      <c r="H56" s="59" t="str">
        <f t="shared" si="2"/>
        <v/>
      </c>
      <c r="I56" s="64"/>
      <c r="J56" s="64"/>
      <c r="K56" s="64"/>
      <c r="M56" t="str">
        <f t="shared" si="3"/>
        <v/>
      </c>
      <c r="N56" t="str">
        <f t="shared" si="4"/>
        <v/>
      </c>
      <c r="R56">
        <v>3661</v>
      </c>
      <c r="S56" t="s">
        <v>686</v>
      </c>
      <c r="U56" t="str">
        <f t="shared" si="7"/>
        <v>36</v>
      </c>
      <c r="V56" t="str">
        <f t="shared" si="8"/>
        <v>366</v>
      </c>
    </row>
    <row r="57" spans="1:25">
      <c r="A57" s="59" t="str">
        <f>IF(C57="","",VLOOKUP('Opći dio'!$C$3,'Opći dio'!$L$6:$U$135,10,0))</f>
        <v/>
      </c>
      <c r="B57" s="59" t="str">
        <f>IF(C57="","",VLOOKUP('Opći dio'!$C$3,'Opći dio'!$L$6:$U$135,9,0))</f>
        <v/>
      </c>
      <c r="C57" s="74"/>
      <c r="D57" s="59" t="str">
        <f t="shared" si="0"/>
        <v/>
      </c>
      <c r="E57" s="74"/>
      <c r="F57" s="59" t="str">
        <f t="shared" si="1"/>
        <v/>
      </c>
      <c r="G57" s="75"/>
      <c r="H57" s="59" t="str">
        <f t="shared" si="2"/>
        <v/>
      </c>
      <c r="I57" s="64"/>
      <c r="J57" s="64"/>
      <c r="K57" s="64"/>
      <c r="M57" t="str">
        <f t="shared" si="3"/>
        <v/>
      </c>
      <c r="N57" t="str">
        <f t="shared" si="4"/>
        <v/>
      </c>
      <c r="R57">
        <v>3662</v>
      </c>
      <c r="S57" t="s">
        <v>687</v>
      </c>
      <c r="U57" t="str">
        <f t="shared" si="7"/>
        <v>36</v>
      </c>
      <c r="V57" t="str">
        <f t="shared" si="8"/>
        <v>366</v>
      </c>
    </row>
    <row r="58" spans="1:25">
      <c r="A58" s="59" t="str">
        <f>IF(C58="","",VLOOKUP('Opći dio'!$C$3,'Opći dio'!$L$6:$U$135,10,0))</f>
        <v/>
      </c>
      <c r="B58" s="59" t="str">
        <f>IF(C58="","",VLOOKUP('Opći dio'!$C$3,'Opći dio'!$L$6:$U$135,9,0))</f>
        <v/>
      </c>
      <c r="C58" s="74"/>
      <c r="D58" s="59" t="str">
        <f t="shared" si="0"/>
        <v/>
      </c>
      <c r="E58" s="74"/>
      <c r="F58" s="59" t="str">
        <f t="shared" si="1"/>
        <v/>
      </c>
      <c r="G58" s="75"/>
      <c r="H58" s="59" t="str">
        <f t="shared" si="2"/>
        <v/>
      </c>
      <c r="I58" s="64"/>
      <c r="J58" s="64"/>
      <c r="K58" s="64"/>
      <c r="M58" t="str">
        <f t="shared" si="3"/>
        <v/>
      </c>
      <c r="N58" t="str">
        <f t="shared" si="4"/>
        <v/>
      </c>
      <c r="R58">
        <v>3681</v>
      </c>
      <c r="S58" t="s">
        <v>477</v>
      </c>
      <c r="U58" t="str">
        <f t="shared" si="7"/>
        <v>36</v>
      </c>
      <c r="V58" t="str">
        <f t="shared" si="8"/>
        <v>368</v>
      </c>
    </row>
    <row r="59" spans="1:25">
      <c r="A59" s="59" t="str">
        <f>IF(C59="","",VLOOKUP('Opći dio'!$C$3,'Opći dio'!$L$6:$U$135,10,0))</f>
        <v/>
      </c>
      <c r="B59" s="59" t="str">
        <f>IF(C59="","",VLOOKUP('Opći dio'!$C$3,'Opći dio'!$L$6:$U$135,9,0))</f>
        <v/>
      </c>
      <c r="C59" s="74"/>
      <c r="D59" s="59" t="str">
        <f t="shared" si="0"/>
        <v/>
      </c>
      <c r="E59" s="74"/>
      <c r="F59" s="59" t="str">
        <f t="shared" si="1"/>
        <v/>
      </c>
      <c r="G59" s="75"/>
      <c r="H59" s="59" t="str">
        <f t="shared" si="2"/>
        <v/>
      </c>
      <c r="I59" s="64"/>
      <c r="J59" s="64"/>
      <c r="K59" s="64"/>
      <c r="M59" t="str">
        <f t="shared" si="3"/>
        <v/>
      </c>
      <c r="N59" t="str">
        <f t="shared" si="4"/>
        <v/>
      </c>
      <c r="R59">
        <v>3682</v>
      </c>
      <c r="S59" t="s">
        <v>688</v>
      </c>
      <c r="U59" t="str">
        <f t="shared" si="7"/>
        <v>36</v>
      </c>
      <c r="V59" t="str">
        <f t="shared" si="8"/>
        <v>368</v>
      </c>
    </row>
    <row r="60" spans="1:25">
      <c r="A60" s="59" t="str">
        <f>IF(C60="","",VLOOKUP('Opći dio'!$C$3,'Opći dio'!$L$6:$U$135,10,0))</f>
        <v/>
      </c>
      <c r="B60" s="59" t="str">
        <f>IF(C60="","",VLOOKUP('Opći dio'!$C$3,'Opći dio'!$L$6:$U$135,9,0))</f>
        <v/>
      </c>
      <c r="C60" s="74"/>
      <c r="D60" s="59" t="str">
        <f t="shared" si="0"/>
        <v/>
      </c>
      <c r="E60" s="74"/>
      <c r="F60" s="59" t="str">
        <f t="shared" si="1"/>
        <v/>
      </c>
      <c r="G60" s="75"/>
      <c r="H60" s="59" t="str">
        <f t="shared" si="2"/>
        <v/>
      </c>
      <c r="I60" s="64"/>
      <c r="J60" s="64"/>
      <c r="K60" s="64"/>
      <c r="M60" t="str">
        <f t="shared" si="3"/>
        <v/>
      </c>
      <c r="N60" t="str">
        <f t="shared" si="4"/>
        <v/>
      </c>
      <c r="R60">
        <v>3691</v>
      </c>
      <c r="S60" t="s">
        <v>689</v>
      </c>
      <c r="U60" t="str">
        <f t="shared" si="7"/>
        <v>36</v>
      </c>
      <c r="V60" t="str">
        <f t="shared" si="8"/>
        <v>369</v>
      </c>
    </row>
    <row r="61" spans="1:25">
      <c r="A61" s="59" t="str">
        <f>IF(C61="","",VLOOKUP('Opći dio'!$C$3,'Opći dio'!$L$6:$U$135,10,0))</f>
        <v/>
      </c>
      <c r="B61" s="59" t="str">
        <f>IF(C61="","",VLOOKUP('Opći dio'!$C$3,'Opći dio'!$L$6:$U$135,9,0))</f>
        <v/>
      </c>
      <c r="C61" s="74"/>
      <c r="D61" s="59" t="str">
        <f t="shared" si="0"/>
        <v/>
      </c>
      <c r="E61" s="74"/>
      <c r="F61" s="59" t="str">
        <f t="shared" si="1"/>
        <v/>
      </c>
      <c r="G61" s="75"/>
      <c r="H61" s="59" t="str">
        <f t="shared" si="2"/>
        <v/>
      </c>
      <c r="I61" s="64"/>
      <c r="J61" s="64"/>
      <c r="K61" s="64"/>
      <c r="M61" t="str">
        <f t="shared" si="3"/>
        <v/>
      </c>
      <c r="N61" t="str">
        <f t="shared" si="4"/>
        <v/>
      </c>
      <c r="R61">
        <v>3692</v>
      </c>
      <c r="S61" t="s">
        <v>690</v>
      </c>
      <c r="U61" t="str">
        <f t="shared" si="7"/>
        <v>36</v>
      </c>
      <c r="V61" t="str">
        <f t="shared" si="8"/>
        <v>369</v>
      </c>
    </row>
    <row r="62" spans="1:25">
      <c r="A62" s="59" t="str">
        <f>IF(C62="","",VLOOKUP('Opći dio'!$C$3,'Opći dio'!$L$6:$U$135,10,0))</f>
        <v/>
      </c>
      <c r="B62" s="59" t="str">
        <f>IF(C62="","",VLOOKUP('Opći dio'!$C$3,'Opći dio'!$L$6:$U$135,9,0))</f>
        <v/>
      </c>
      <c r="C62" s="74"/>
      <c r="D62" s="59" t="str">
        <f t="shared" si="0"/>
        <v/>
      </c>
      <c r="E62" s="74"/>
      <c r="F62" s="59" t="str">
        <f t="shared" si="1"/>
        <v/>
      </c>
      <c r="G62" s="75"/>
      <c r="H62" s="59" t="str">
        <f t="shared" si="2"/>
        <v/>
      </c>
      <c r="I62" s="64"/>
      <c r="J62" s="64"/>
      <c r="K62" s="64"/>
      <c r="M62" t="str">
        <f t="shared" si="3"/>
        <v/>
      </c>
      <c r="N62" t="str">
        <f t="shared" si="4"/>
        <v/>
      </c>
      <c r="R62">
        <v>3693</v>
      </c>
      <c r="S62" t="s">
        <v>689</v>
      </c>
      <c r="U62" t="str">
        <f t="shared" si="7"/>
        <v>36</v>
      </c>
      <c r="V62" t="str">
        <f t="shared" si="8"/>
        <v>369</v>
      </c>
    </row>
    <row r="63" spans="1:25">
      <c r="A63" s="59" t="str">
        <f>IF(C63="","",VLOOKUP('Opći dio'!$C$3,'Opći dio'!$L$6:$U$135,10,0))</f>
        <v/>
      </c>
      <c r="B63" s="59" t="str">
        <f>IF(C63="","",VLOOKUP('Opći dio'!$C$3,'Opći dio'!$L$6:$U$135,9,0))</f>
        <v/>
      </c>
      <c r="C63" s="74"/>
      <c r="D63" s="59" t="str">
        <f t="shared" si="0"/>
        <v/>
      </c>
      <c r="E63" s="74"/>
      <c r="F63" s="59" t="str">
        <f t="shared" si="1"/>
        <v/>
      </c>
      <c r="G63" s="75"/>
      <c r="H63" s="59" t="str">
        <f t="shared" si="2"/>
        <v/>
      </c>
      <c r="I63" s="64"/>
      <c r="J63" s="64"/>
      <c r="K63" s="64"/>
      <c r="M63" t="str">
        <f t="shared" si="3"/>
        <v/>
      </c>
      <c r="N63" t="str">
        <f t="shared" si="4"/>
        <v/>
      </c>
      <c r="R63">
        <v>3694</v>
      </c>
      <c r="S63" t="s">
        <v>690</v>
      </c>
      <c r="U63" t="str">
        <f t="shared" si="7"/>
        <v>36</v>
      </c>
      <c r="V63" t="str">
        <f t="shared" si="8"/>
        <v>369</v>
      </c>
    </row>
    <row r="64" spans="1:25">
      <c r="A64" s="59" t="str">
        <f>IF(C64="","",VLOOKUP('Opći dio'!$C$3,'Opći dio'!$L$6:$U$135,10,0))</f>
        <v/>
      </c>
      <c r="B64" s="59" t="str">
        <f>IF(C64="","",VLOOKUP('Opći dio'!$C$3,'Opći dio'!$L$6:$U$135,9,0))</f>
        <v/>
      </c>
      <c r="C64" s="74"/>
      <c r="D64" s="59" t="str">
        <f t="shared" si="0"/>
        <v/>
      </c>
      <c r="E64" s="74"/>
      <c r="F64" s="59" t="str">
        <f t="shared" si="1"/>
        <v/>
      </c>
      <c r="G64" s="75"/>
      <c r="H64" s="59" t="str">
        <f t="shared" si="2"/>
        <v/>
      </c>
      <c r="I64" s="64"/>
      <c r="J64" s="64"/>
      <c r="K64" s="64"/>
      <c r="M64" t="str">
        <f t="shared" si="3"/>
        <v/>
      </c>
      <c r="N64" t="str">
        <f t="shared" si="4"/>
        <v/>
      </c>
      <c r="R64">
        <v>3711</v>
      </c>
      <c r="S64" t="s">
        <v>691</v>
      </c>
      <c r="U64" t="str">
        <f t="shared" si="7"/>
        <v>37</v>
      </c>
      <c r="V64" t="str">
        <f t="shared" si="8"/>
        <v>371</v>
      </c>
    </row>
    <row r="65" spans="1:22">
      <c r="A65" s="59" t="str">
        <f>IF(C65="","",VLOOKUP('Opći dio'!$C$3,'Opći dio'!$L$6:$U$135,10,0))</f>
        <v/>
      </c>
      <c r="B65" s="59" t="str">
        <f>IF(C65="","",VLOOKUP('Opći dio'!$C$3,'Opći dio'!$L$6:$U$135,9,0))</f>
        <v/>
      </c>
      <c r="C65" s="74"/>
      <c r="D65" s="59" t="str">
        <f t="shared" si="0"/>
        <v/>
      </c>
      <c r="E65" s="74"/>
      <c r="F65" s="59" t="str">
        <f t="shared" si="1"/>
        <v/>
      </c>
      <c r="G65" s="75"/>
      <c r="H65" s="59" t="str">
        <f t="shared" si="2"/>
        <v/>
      </c>
      <c r="I65" s="64"/>
      <c r="J65" s="64"/>
      <c r="K65" s="64"/>
      <c r="M65" t="str">
        <f t="shared" si="3"/>
        <v/>
      </c>
      <c r="N65" t="str">
        <f t="shared" si="4"/>
        <v/>
      </c>
      <c r="R65">
        <v>3712</v>
      </c>
      <c r="S65" t="s">
        <v>692</v>
      </c>
      <c r="U65" t="str">
        <f t="shared" si="7"/>
        <v>37</v>
      </c>
      <c r="V65" t="str">
        <f t="shared" si="8"/>
        <v>371</v>
      </c>
    </row>
    <row r="66" spans="1:22">
      <c r="A66" s="59" t="str">
        <f>IF(C66="","",VLOOKUP('Opći dio'!$C$3,'Opći dio'!$L$6:$U$135,10,0))</f>
        <v/>
      </c>
      <c r="B66" s="59" t="str">
        <f>IF(C66="","",VLOOKUP('Opći dio'!$C$3,'Opći dio'!$L$6:$U$135,9,0))</f>
        <v/>
      </c>
      <c r="C66" s="74"/>
      <c r="D66" s="59" t="str">
        <f t="shared" si="0"/>
        <v/>
      </c>
      <c r="E66" s="74"/>
      <c r="F66" s="59" t="str">
        <f t="shared" si="1"/>
        <v/>
      </c>
      <c r="G66" s="75"/>
      <c r="H66" s="59" t="str">
        <f t="shared" si="2"/>
        <v/>
      </c>
      <c r="I66" s="64"/>
      <c r="J66" s="64"/>
      <c r="K66" s="64"/>
      <c r="M66" t="str">
        <f t="shared" si="3"/>
        <v/>
      </c>
      <c r="N66" t="str">
        <f t="shared" si="4"/>
        <v/>
      </c>
      <c r="R66">
        <v>3713</v>
      </c>
      <c r="S66" t="s">
        <v>693</v>
      </c>
      <c r="U66" t="str">
        <f t="shared" si="7"/>
        <v>37</v>
      </c>
      <c r="V66" t="str">
        <f t="shared" si="8"/>
        <v>371</v>
      </c>
    </row>
    <row r="67" spans="1:22">
      <c r="A67" s="59" t="str">
        <f>IF(C67="","",VLOOKUP('Opći dio'!$C$3,'Opći dio'!$L$6:$U$135,10,0))</f>
        <v/>
      </c>
      <c r="B67" s="59" t="str">
        <f>IF(C67="","",VLOOKUP('Opći dio'!$C$3,'Opći dio'!$L$6:$U$135,9,0))</f>
        <v/>
      </c>
      <c r="C67" s="74"/>
      <c r="D67" s="59" t="str">
        <f t="shared" ref="D67:D130" si="9">IFERROR(VLOOKUP(C67,$O$6:$P$16,2,0),"")</f>
        <v/>
      </c>
      <c r="E67" s="74"/>
      <c r="F67" s="59" t="str">
        <f t="shared" ref="F67:F130" si="10">IFERROR(VLOOKUP(E67,$R$5:$T$129,2,0),"")</f>
        <v/>
      </c>
      <c r="G67" s="75"/>
      <c r="H67" s="59" t="str">
        <f t="shared" ref="H67:H130" si="11">IFERROR(VLOOKUP(G67,$X$6:$Y$50,2,0),"")</f>
        <v/>
      </c>
      <c r="I67" s="64"/>
      <c r="J67" s="64"/>
      <c r="K67" s="64"/>
      <c r="M67" t="str">
        <f t="shared" ref="M67:M130" si="12">LEFT(E67,3)</f>
        <v/>
      </c>
      <c r="N67" t="str">
        <f t="shared" ref="N67:N130" si="13">LEFT(E67,2)</f>
        <v/>
      </c>
      <c r="R67">
        <v>3714</v>
      </c>
      <c r="S67" t="s">
        <v>694</v>
      </c>
      <c r="U67" t="str">
        <f t="shared" si="7"/>
        <v>37</v>
      </c>
      <c r="V67" t="str">
        <f t="shared" si="8"/>
        <v>371</v>
      </c>
    </row>
    <row r="68" spans="1:22">
      <c r="A68" s="59" t="str">
        <f>IF(C68="","",VLOOKUP('Opći dio'!$C$3,'Opći dio'!$L$6:$U$135,10,0))</f>
        <v/>
      </c>
      <c r="B68" s="59" t="str">
        <f>IF(C68="","",VLOOKUP('Opći dio'!$C$3,'Opći dio'!$L$6:$U$135,9,0))</f>
        <v/>
      </c>
      <c r="C68" s="74"/>
      <c r="D68" s="59" t="str">
        <f t="shared" si="9"/>
        <v/>
      </c>
      <c r="E68" s="74"/>
      <c r="F68" s="59" t="str">
        <f t="shared" si="10"/>
        <v/>
      </c>
      <c r="G68" s="75"/>
      <c r="H68" s="59" t="str">
        <f t="shared" si="11"/>
        <v/>
      </c>
      <c r="I68" s="64"/>
      <c r="J68" s="64"/>
      <c r="K68" s="64"/>
      <c r="M68" t="str">
        <f t="shared" si="12"/>
        <v/>
      </c>
      <c r="N68" t="str">
        <f t="shared" si="13"/>
        <v/>
      </c>
      <c r="R68">
        <v>3715</v>
      </c>
      <c r="S68" t="s">
        <v>695</v>
      </c>
      <c r="U68" t="str">
        <f t="shared" si="7"/>
        <v>37</v>
      </c>
      <c r="V68" t="str">
        <f t="shared" si="8"/>
        <v>371</v>
      </c>
    </row>
    <row r="69" spans="1:22">
      <c r="A69" s="59" t="str">
        <f>IF(C69="","",VLOOKUP('Opći dio'!$C$3,'Opći dio'!$L$6:$U$135,10,0))</f>
        <v/>
      </c>
      <c r="B69" s="59" t="str">
        <f>IF(C69="","",VLOOKUP('Opći dio'!$C$3,'Opći dio'!$L$6:$U$135,9,0))</f>
        <v/>
      </c>
      <c r="C69" s="74"/>
      <c r="D69" s="59" t="str">
        <f t="shared" si="9"/>
        <v/>
      </c>
      <c r="E69" s="74"/>
      <c r="F69" s="59" t="str">
        <f t="shared" si="10"/>
        <v/>
      </c>
      <c r="G69" s="75"/>
      <c r="H69" s="59" t="str">
        <f t="shared" si="11"/>
        <v/>
      </c>
      <c r="I69" s="64"/>
      <c r="J69" s="64"/>
      <c r="K69" s="64"/>
      <c r="M69" t="str">
        <f t="shared" si="12"/>
        <v/>
      </c>
      <c r="N69" t="str">
        <f t="shared" si="13"/>
        <v/>
      </c>
      <c r="R69">
        <v>3721</v>
      </c>
      <c r="S69" t="s">
        <v>696</v>
      </c>
      <c r="U69" t="str">
        <f t="shared" ref="U69:U100" si="14">LEFT(R69,2)</f>
        <v>37</v>
      </c>
      <c r="V69" t="str">
        <f t="shared" ref="V69:V100" si="15">LEFT(R69,3)</f>
        <v>372</v>
      </c>
    </row>
    <row r="70" spans="1:22">
      <c r="A70" s="59" t="str">
        <f>IF(C70="","",VLOOKUP('Opći dio'!$C$3,'Opći dio'!$L$6:$U$135,10,0))</f>
        <v/>
      </c>
      <c r="B70" s="59" t="str">
        <f>IF(C70="","",VLOOKUP('Opći dio'!$C$3,'Opći dio'!$L$6:$U$135,9,0))</f>
        <v/>
      </c>
      <c r="C70" s="74"/>
      <c r="D70" s="59" t="str">
        <f t="shared" si="9"/>
        <v/>
      </c>
      <c r="E70" s="74"/>
      <c r="F70" s="59" t="str">
        <f t="shared" si="10"/>
        <v/>
      </c>
      <c r="G70" s="75"/>
      <c r="H70" s="59" t="str">
        <f t="shared" si="11"/>
        <v/>
      </c>
      <c r="I70" s="64"/>
      <c r="J70" s="64"/>
      <c r="K70" s="64"/>
      <c r="M70" t="str">
        <f t="shared" si="12"/>
        <v/>
      </c>
      <c r="N70" t="str">
        <f t="shared" si="13"/>
        <v/>
      </c>
      <c r="R70">
        <v>3722</v>
      </c>
      <c r="S70" t="s">
        <v>697</v>
      </c>
      <c r="U70" t="str">
        <f t="shared" si="14"/>
        <v>37</v>
      </c>
      <c r="V70" t="str">
        <f t="shared" si="15"/>
        <v>372</v>
      </c>
    </row>
    <row r="71" spans="1:22">
      <c r="A71" s="59" t="str">
        <f>IF(C71="","",VLOOKUP('Opći dio'!$C$3,'Opći dio'!$L$6:$U$135,10,0))</f>
        <v/>
      </c>
      <c r="B71" s="59" t="str">
        <f>IF(C71="","",VLOOKUP('Opći dio'!$C$3,'Opći dio'!$L$6:$U$135,9,0))</f>
        <v/>
      </c>
      <c r="C71" s="74"/>
      <c r="D71" s="59" t="str">
        <f t="shared" si="9"/>
        <v/>
      </c>
      <c r="E71" s="74"/>
      <c r="F71" s="59" t="str">
        <f t="shared" si="10"/>
        <v/>
      </c>
      <c r="G71" s="75"/>
      <c r="H71" s="59" t="str">
        <f t="shared" si="11"/>
        <v/>
      </c>
      <c r="I71" s="64"/>
      <c r="J71" s="64"/>
      <c r="K71" s="64"/>
      <c r="M71" t="str">
        <f t="shared" si="12"/>
        <v/>
      </c>
      <c r="N71" t="str">
        <f t="shared" si="13"/>
        <v/>
      </c>
      <c r="R71">
        <v>3723</v>
      </c>
      <c r="S71" t="s">
        <v>698</v>
      </c>
      <c r="U71" t="str">
        <f t="shared" si="14"/>
        <v>37</v>
      </c>
      <c r="V71" t="str">
        <f t="shared" si="15"/>
        <v>372</v>
      </c>
    </row>
    <row r="72" spans="1:22">
      <c r="A72" s="59" t="str">
        <f>IF(C72="","",VLOOKUP('Opći dio'!$C$3,'Opći dio'!$L$6:$U$135,10,0))</f>
        <v/>
      </c>
      <c r="B72" s="59" t="str">
        <f>IF(C72="","",VLOOKUP('Opći dio'!$C$3,'Opći dio'!$L$6:$U$135,9,0))</f>
        <v/>
      </c>
      <c r="C72" s="74"/>
      <c r="D72" s="59" t="str">
        <f t="shared" si="9"/>
        <v/>
      </c>
      <c r="E72" s="74"/>
      <c r="F72" s="59" t="str">
        <f t="shared" si="10"/>
        <v/>
      </c>
      <c r="G72" s="75"/>
      <c r="H72" s="59" t="str">
        <f t="shared" si="11"/>
        <v/>
      </c>
      <c r="I72" s="64"/>
      <c r="J72" s="64"/>
      <c r="K72" s="64"/>
      <c r="M72" t="str">
        <f t="shared" si="12"/>
        <v/>
      </c>
      <c r="N72" t="str">
        <f t="shared" si="13"/>
        <v/>
      </c>
      <c r="R72">
        <v>3811</v>
      </c>
      <c r="S72" t="s">
        <v>699</v>
      </c>
      <c r="U72" t="str">
        <f t="shared" si="14"/>
        <v>38</v>
      </c>
      <c r="V72" t="str">
        <f t="shared" si="15"/>
        <v>381</v>
      </c>
    </row>
    <row r="73" spans="1:22">
      <c r="A73" s="59" t="str">
        <f>IF(C73="","",VLOOKUP('Opći dio'!$C$3,'Opći dio'!$L$6:$U$135,10,0))</f>
        <v/>
      </c>
      <c r="B73" s="59" t="str">
        <f>IF(C73="","",VLOOKUP('Opći dio'!$C$3,'Opći dio'!$L$6:$U$135,9,0))</f>
        <v/>
      </c>
      <c r="C73" s="74"/>
      <c r="D73" s="59" t="str">
        <f t="shared" si="9"/>
        <v/>
      </c>
      <c r="E73" s="74"/>
      <c r="F73" s="59" t="str">
        <f t="shared" si="10"/>
        <v/>
      </c>
      <c r="G73" s="75"/>
      <c r="H73" s="59" t="str">
        <f t="shared" si="11"/>
        <v/>
      </c>
      <c r="I73" s="64"/>
      <c r="J73" s="64"/>
      <c r="K73" s="64"/>
      <c r="M73" t="str">
        <f t="shared" si="12"/>
        <v/>
      </c>
      <c r="N73" t="str">
        <f t="shared" si="13"/>
        <v/>
      </c>
      <c r="R73">
        <v>3812</v>
      </c>
      <c r="S73" t="s">
        <v>700</v>
      </c>
      <c r="U73" t="str">
        <f t="shared" si="14"/>
        <v>38</v>
      </c>
      <c r="V73" t="str">
        <f t="shared" si="15"/>
        <v>381</v>
      </c>
    </row>
    <row r="74" spans="1:22">
      <c r="A74" s="59" t="str">
        <f>IF(C74="","",VLOOKUP('Opći dio'!$C$3,'Opći dio'!$L$6:$U$135,10,0))</f>
        <v/>
      </c>
      <c r="B74" s="59" t="str">
        <f>IF(C74="","",VLOOKUP('Opći dio'!$C$3,'Opći dio'!$L$6:$U$135,9,0))</f>
        <v/>
      </c>
      <c r="C74" s="74"/>
      <c r="D74" s="59" t="str">
        <f t="shared" si="9"/>
        <v/>
      </c>
      <c r="E74" s="74"/>
      <c r="F74" s="59" t="str">
        <f t="shared" si="10"/>
        <v/>
      </c>
      <c r="G74" s="75"/>
      <c r="H74" s="59" t="str">
        <f t="shared" si="11"/>
        <v/>
      </c>
      <c r="I74" s="64"/>
      <c r="J74" s="64"/>
      <c r="K74" s="64"/>
      <c r="M74" t="str">
        <f t="shared" si="12"/>
        <v/>
      </c>
      <c r="N74" t="str">
        <f t="shared" si="13"/>
        <v/>
      </c>
      <c r="R74">
        <v>3813</v>
      </c>
      <c r="S74" t="s">
        <v>701</v>
      </c>
      <c r="U74" t="str">
        <f t="shared" si="14"/>
        <v>38</v>
      </c>
      <c r="V74" t="str">
        <f t="shared" si="15"/>
        <v>381</v>
      </c>
    </row>
    <row r="75" spans="1:22">
      <c r="A75" s="59" t="str">
        <f>IF(C75="","",VLOOKUP('Opći dio'!$C$3,'Opći dio'!$L$6:$U$135,10,0))</f>
        <v/>
      </c>
      <c r="B75" s="59" t="str">
        <f>IF(C75="","",VLOOKUP('Opći dio'!$C$3,'Opći dio'!$L$6:$U$135,9,0))</f>
        <v/>
      </c>
      <c r="C75" s="74"/>
      <c r="D75" s="59" t="str">
        <f t="shared" si="9"/>
        <v/>
      </c>
      <c r="E75" s="74"/>
      <c r="F75" s="59" t="str">
        <f t="shared" si="10"/>
        <v/>
      </c>
      <c r="G75" s="75"/>
      <c r="H75" s="59" t="str">
        <f t="shared" si="11"/>
        <v/>
      </c>
      <c r="I75" s="64"/>
      <c r="J75" s="64"/>
      <c r="K75" s="64"/>
      <c r="M75" t="str">
        <f t="shared" si="12"/>
        <v/>
      </c>
      <c r="N75" t="str">
        <f t="shared" si="13"/>
        <v/>
      </c>
      <c r="R75">
        <v>3821</v>
      </c>
      <c r="S75" t="s">
        <v>702</v>
      </c>
      <c r="U75" t="str">
        <f t="shared" si="14"/>
        <v>38</v>
      </c>
      <c r="V75" t="str">
        <f t="shared" si="15"/>
        <v>382</v>
      </c>
    </row>
    <row r="76" spans="1:22">
      <c r="A76" s="59" t="str">
        <f>IF(C76="","",VLOOKUP('Opći dio'!$C$3,'Opći dio'!$L$6:$U$135,10,0))</f>
        <v/>
      </c>
      <c r="B76" s="59" t="str">
        <f>IF(C76="","",VLOOKUP('Opći dio'!$C$3,'Opći dio'!$L$6:$U$135,9,0))</f>
        <v/>
      </c>
      <c r="C76" s="74"/>
      <c r="D76" s="59" t="str">
        <f t="shared" si="9"/>
        <v/>
      </c>
      <c r="E76" s="74"/>
      <c r="F76" s="59" t="str">
        <f t="shared" si="10"/>
        <v/>
      </c>
      <c r="G76" s="75"/>
      <c r="H76" s="59" t="str">
        <f t="shared" si="11"/>
        <v/>
      </c>
      <c r="I76" s="64"/>
      <c r="J76" s="64"/>
      <c r="K76" s="64"/>
      <c r="M76" t="str">
        <f t="shared" si="12"/>
        <v/>
      </c>
      <c r="N76" t="str">
        <f t="shared" si="13"/>
        <v/>
      </c>
      <c r="R76">
        <v>3831</v>
      </c>
      <c r="S76" t="s">
        <v>703</v>
      </c>
      <c r="U76" t="str">
        <f t="shared" si="14"/>
        <v>38</v>
      </c>
      <c r="V76" t="str">
        <f t="shared" si="15"/>
        <v>383</v>
      </c>
    </row>
    <row r="77" spans="1:22">
      <c r="A77" s="59" t="str">
        <f>IF(C77="","",VLOOKUP('Opći dio'!$C$3,'Opći dio'!$L$6:$U$135,10,0))</f>
        <v/>
      </c>
      <c r="B77" s="59" t="str">
        <f>IF(C77="","",VLOOKUP('Opći dio'!$C$3,'Opći dio'!$L$6:$U$135,9,0))</f>
        <v/>
      </c>
      <c r="C77" s="74"/>
      <c r="D77" s="59" t="str">
        <f t="shared" si="9"/>
        <v/>
      </c>
      <c r="E77" s="74"/>
      <c r="F77" s="59" t="str">
        <f t="shared" si="10"/>
        <v/>
      </c>
      <c r="G77" s="75"/>
      <c r="H77" s="59" t="str">
        <f t="shared" si="11"/>
        <v/>
      </c>
      <c r="I77" s="64"/>
      <c r="J77" s="64"/>
      <c r="K77" s="64"/>
      <c r="M77" t="str">
        <f t="shared" si="12"/>
        <v/>
      </c>
      <c r="N77" t="str">
        <f t="shared" si="13"/>
        <v/>
      </c>
      <c r="R77">
        <v>3832</v>
      </c>
      <c r="S77" t="s">
        <v>704</v>
      </c>
      <c r="U77" t="str">
        <f t="shared" si="14"/>
        <v>38</v>
      </c>
      <c r="V77" t="str">
        <f t="shared" si="15"/>
        <v>383</v>
      </c>
    </row>
    <row r="78" spans="1:22">
      <c r="A78" s="59" t="str">
        <f>IF(C78="","",VLOOKUP('Opći dio'!$C$3,'Opći dio'!$L$6:$U$135,10,0))</f>
        <v/>
      </c>
      <c r="B78" s="59" t="str">
        <f>IF(C78="","",VLOOKUP('Opći dio'!$C$3,'Opći dio'!$L$6:$U$135,9,0))</f>
        <v/>
      </c>
      <c r="C78" s="74"/>
      <c r="D78" s="59" t="str">
        <f t="shared" si="9"/>
        <v/>
      </c>
      <c r="E78" s="74"/>
      <c r="F78" s="59" t="str">
        <f t="shared" si="10"/>
        <v/>
      </c>
      <c r="G78" s="75"/>
      <c r="H78" s="59" t="str">
        <f t="shared" si="11"/>
        <v/>
      </c>
      <c r="I78" s="64"/>
      <c r="J78" s="64"/>
      <c r="K78" s="64"/>
      <c r="M78" t="str">
        <f t="shared" si="12"/>
        <v/>
      </c>
      <c r="N78" t="str">
        <f t="shared" si="13"/>
        <v/>
      </c>
      <c r="R78">
        <v>3833</v>
      </c>
      <c r="S78" t="s">
        <v>705</v>
      </c>
      <c r="U78" t="str">
        <f t="shared" si="14"/>
        <v>38</v>
      </c>
      <c r="V78" t="str">
        <f t="shared" si="15"/>
        <v>383</v>
      </c>
    </row>
    <row r="79" spans="1:22">
      <c r="A79" s="59" t="str">
        <f>IF(C79="","",VLOOKUP('Opći dio'!$C$3,'Opći dio'!$L$6:$U$135,10,0))</f>
        <v/>
      </c>
      <c r="B79" s="59" t="str">
        <f>IF(C79="","",VLOOKUP('Opći dio'!$C$3,'Opći dio'!$L$6:$U$135,9,0))</f>
        <v/>
      </c>
      <c r="C79" s="74"/>
      <c r="D79" s="59" t="str">
        <f t="shared" si="9"/>
        <v/>
      </c>
      <c r="E79" s="74"/>
      <c r="F79" s="59" t="str">
        <f t="shared" si="10"/>
        <v/>
      </c>
      <c r="G79" s="75"/>
      <c r="H79" s="59" t="str">
        <f t="shared" si="11"/>
        <v/>
      </c>
      <c r="I79" s="64"/>
      <c r="J79" s="64"/>
      <c r="K79" s="64"/>
      <c r="M79" t="str">
        <f t="shared" si="12"/>
        <v/>
      </c>
      <c r="N79" t="str">
        <f t="shared" si="13"/>
        <v/>
      </c>
      <c r="R79">
        <v>3834</v>
      </c>
      <c r="S79" t="s">
        <v>706</v>
      </c>
      <c r="U79" t="str">
        <f t="shared" si="14"/>
        <v>38</v>
      </c>
      <c r="V79" t="str">
        <f t="shared" si="15"/>
        <v>383</v>
      </c>
    </row>
    <row r="80" spans="1:22">
      <c r="A80" s="59" t="str">
        <f>IF(C80="","",VLOOKUP('Opći dio'!$C$3,'Opći dio'!$L$6:$U$135,10,0))</f>
        <v/>
      </c>
      <c r="B80" s="59" t="str">
        <f>IF(C80="","",VLOOKUP('Opći dio'!$C$3,'Opći dio'!$L$6:$U$135,9,0))</f>
        <v/>
      </c>
      <c r="C80" s="74"/>
      <c r="D80" s="59" t="str">
        <f t="shared" si="9"/>
        <v/>
      </c>
      <c r="E80" s="74"/>
      <c r="F80" s="59" t="str">
        <f t="shared" si="10"/>
        <v/>
      </c>
      <c r="G80" s="75"/>
      <c r="H80" s="59" t="str">
        <f t="shared" si="11"/>
        <v/>
      </c>
      <c r="I80" s="64"/>
      <c r="J80" s="64"/>
      <c r="K80" s="64"/>
      <c r="M80" t="str">
        <f t="shared" si="12"/>
        <v/>
      </c>
      <c r="N80" t="str">
        <f t="shared" si="13"/>
        <v/>
      </c>
      <c r="R80">
        <v>3835</v>
      </c>
      <c r="S80" t="s">
        <v>707</v>
      </c>
      <c r="U80" t="str">
        <f t="shared" si="14"/>
        <v>38</v>
      </c>
      <c r="V80" t="str">
        <f t="shared" si="15"/>
        <v>383</v>
      </c>
    </row>
    <row r="81" spans="1:22">
      <c r="A81" s="59" t="str">
        <f>IF(C81="","",VLOOKUP('Opći dio'!$C$3,'Opći dio'!$L$6:$U$135,10,0))</f>
        <v/>
      </c>
      <c r="B81" s="59" t="str">
        <f>IF(C81="","",VLOOKUP('Opći dio'!$C$3,'Opći dio'!$L$6:$U$135,9,0))</f>
        <v/>
      </c>
      <c r="C81" s="74"/>
      <c r="D81" s="59" t="str">
        <f t="shared" si="9"/>
        <v/>
      </c>
      <c r="E81" s="74"/>
      <c r="F81" s="59" t="str">
        <f t="shared" si="10"/>
        <v/>
      </c>
      <c r="G81" s="75"/>
      <c r="H81" s="59" t="str">
        <f t="shared" si="11"/>
        <v/>
      </c>
      <c r="I81" s="64"/>
      <c r="J81" s="64"/>
      <c r="K81" s="64"/>
      <c r="M81" t="str">
        <f t="shared" si="12"/>
        <v/>
      </c>
      <c r="N81" t="str">
        <f t="shared" si="13"/>
        <v/>
      </c>
      <c r="R81">
        <v>3861</v>
      </c>
      <c r="S81" s="78" t="s">
        <v>708</v>
      </c>
      <c r="U81" t="str">
        <f t="shared" si="14"/>
        <v>38</v>
      </c>
      <c r="V81" t="str">
        <f t="shared" si="15"/>
        <v>386</v>
      </c>
    </row>
    <row r="82" spans="1:22">
      <c r="A82" s="59" t="str">
        <f>IF(C82="","",VLOOKUP('Opći dio'!$C$3,'Opći dio'!$L$6:$U$135,10,0))</f>
        <v/>
      </c>
      <c r="B82" s="59" t="str">
        <f>IF(C82="","",VLOOKUP('Opći dio'!$C$3,'Opći dio'!$L$6:$U$135,9,0))</f>
        <v/>
      </c>
      <c r="C82" s="74"/>
      <c r="D82" s="59" t="str">
        <f t="shared" si="9"/>
        <v/>
      </c>
      <c r="E82" s="74"/>
      <c r="F82" s="59" t="str">
        <f t="shared" si="10"/>
        <v/>
      </c>
      <c r="G82" s="75"/>
      <c r="H82" s="59" t="str">
        <f t="shared" si="11"/>
        <v/>
      </c>
      <c r="I82" s="64"/>
      <c r="J82" s="64"/>
      <c r="K82" s="64"/>
      <c r="M82" t="str">
        <f t="shared" si="12"/>
        <v/>
      </c>
      <c r="N82" t="str">
        <f t="shared" si="13"/>
        <v/>
      </c>
      <c r="R82">
        <v>3862</v>
      </c>
      <c r="S82" t="s">
        <v>709</v>
      </c>
      <c r="U82" t="str">
        <f t="shared" si="14"/>
        <v>38</v>
      </c>
      <c r="V82" t="str">
        <f t="shared" si="15"/>
        <v>386</v>
      </c>
    </row>
    <row r="83" spans="1:22">
      <c r="A83" s="59" t="str">
        <f>IF(C83="","",VLOOKUP('Opći dio'!$C$3,'Opći dio'!$L$6:$U$135,10,0))</f>
        <v/>
      </c>
      <c r="B83" s="59" t="str">
        <f>IF(C83="","",VLOOKUP('Opći dio'!$C$3,'Opći dio'!$L$6:$U$135,9,0))</f>
        <v/>
      </c>
      <c r="C83" s="74"/>
      <c r="D83" s="59" t="str">
        <f t="shared" si="9"/>
        <v/>
      </c>
      <c r="E83" s="74"/>
      <c r="F83" s="59" t="str">
        <f t="shared" si="10"/>
        <v/>
      </c>
      <c r="G83" s="75"/>
      <c r="H83" s="59" t="str">
        <f t="shared" si="11"/>
        <v/>
      </c>
      <c r="I83" s="64"/>
      <c r="J83" s="64"/>
      <c r="K83" s="64"/>
      <c r="M83" t="str">
        <f t="shared" si="12"/>
        <v/>
      </c>
      <c r="N83" t="str">
        <f t="shared" si="13"/>
        <v/>
      </c>
      <c r="R83">
        <v>3863</v>
      </c>
      <c r="S83" t="s">
        <v>710</v>
      </c>
      <c r="U83" t="str">
        <f t="shared" si="14"/>
        <v>38</v>
      </c>
      <c r="V83" t="str">
        <f t="shared" si="15"/>
        <v>386</v>
      </c>
    </row>
    <row r="84" spans="1:22">
      <c r="A84" s="59" t="str">
        <f>IF(C84="","",VLOOKUP('Opći dio'!$C$3,'Opći dio'!$L$6:$U$135,10,0))</f>
        <v/>
      </c>
      <c r="B84" s="59" t="str">
        <f>IF(C84="","",VLOOKUP('Opći dio'!$C$3,'Opći dio'!$L$6:$U$135,9,0))</f>
        <v/>
      </c>
      <c r="C84" s="74"/>
      <c r="D84" s="59" t="str">
        <f t="shared" si="9"/>
        <v/>
      </c>
      <c r="E84" s="74"/>
      <c r="F84" s="59" t="str">
        <f t="shared" si="10"/>
        <v/>
      </c>
      <c r="G84" s="75"/>
      <c r="H84" s="59" t="str">
        <f t="shared" si="11"/>
        <v/>
      </c>
      <c r="I84" s="64"/>
      <c r="J84" s="64"/>
      <c r="K84" s="64"/>
      <c r="M84" t="str">
        <f t="shared" si="12"/>
        <v/>
      </c>
      <c r="N84" t="str">
        <f t="shared" si="13"/>
        <v/>
      </c>
      <c r="R84">
        <v>4111</v>
      </c>
      <c r="S84" t="s">
        <v>711</v>
      </c>
      <c r="U84" t="str">
        <f t="shared" si="14"/>
        <v>41</v>
      </c>
      <c r="V84" t="str">
        <f t="shared" si="15"/>
        <v>411</v>
      </c>
    </row>
    <row r="85" spans="1:22">
      <c r="A85" s="59" t="str">
        <f>IF(C85="","",VLOOKUP('Opći dio'!$C$3,'Opći dio'!$L$6:$U$135,10,0))</f>
        <v/>
      </c>
      <c r="B85" s="59" t="str">
        <f>IF(C85="","",VLOOKUP('Opći dio'!$C$3,'Opći dio'!$L$6:$U$135,9,0))</f>
        <v/>
      </c>
      <c r="C85" s="74"/>
      <c r="D85" s="59" t="str">
        <f t="shared" si="9"/>
        <v/>
      </c>
      <c r="E85" s="74"/>
      <c r="F85" s="59" t="str">
        <f t="shared" si="10"/>
        <v/>
      </c>
      <c r="G85" s="75"/>
      <c r="H85" s="59" t="str">
        <f t="shared" si="11"/>
        <v/>
      </c>
      <c r="I85" s="64"/>
      <c r="J85" s="64"/>
      <c r="K85" s="64"/>
      <c r="M85" t="str">
        <f t="shared" si="12"/>
        <v/>
      </c>
      <c r="N85" t="str">
        <f t="shared" si="13"/>
        <v/>
      </c>
      <c r="R85">
        <v>4113</v>
      </c>
      <c r="S85" t="s">
        <v>712</v>
      </c>
      <c r="U85" t="str">
        <f t="shared" si="14"/>
        <v>41</v>
      </c>
      <c r="V85" t="str">
        <f t="shared" si="15"/>
        <v>411</v>
      </c>
    </row>
    <row r="86" spans="1:22">
      <c r="A86" s="59" t="str">
        <f>IF(C86="","",VLOOKUP('Opći dio'!$C$3,'Opći dio'!$L$6:$U$135,10,0))</f>
        <v/>
      </c>
      <c r="B86" s="59" t="str">
        <f>IF(C86="","",VLOOKUP('Opći dio'!$C$3,'Opći dio'!$L$6:$U$135,9,0))</f>
        <v/>
      </c>
      <c r="C86" s="74"/>
      <c r="D86" s="59" t="str">
        <f t="shared" si="9"/>
        <v/>
      </c>
      <c r="E86" s="74"/>
      <c r="F86" s="59" t="str">
        <f t="shared" si="10"/>
        <v/>
      </c>
      <c r="G86" s="75"/>
      <c r="H86" s="59" t="str">
        <f t="shared" si="11"/>
        <v/>
      </c>
      <c r="I86" s="64"/>
      <c r="J86" s="64"/>
      <c r="K86" s="64"/>
      <c r="M86" t="str">
        <f t="shared" si="12"/>
        <v/>
      </c>
      <c r="N86" t="str">
        <f t="shared" si="13"/>
        <v/>
      </c>
      <c r="R86">
        <v>4122</v>
      </c>
      <c r="S86" t="s">
        <v>713</v>
      </c>
      <c r="U86" t="str">
        <f t="shared" si="14"/>
        <v>41</v>
      </c>
      <c r="V86" t="str">
        <f t="shared" si="15"/>
        <v>412</v>
      </c>
    </row>
    <row r="87" spans="1:22">
      <c r="A87" s="59" t="str">
        <f>IF(C87="","",VLOOKUP('Opći dio'!$C$3,'Opći dio'!$L$6:$U$135,10,0))</f>
        <v/>
      </c>
      <c r="B87" s="59" t="str">
        <f>IF(C87="","",VLOOKUP('Opći dio'!$C$3,'Opći dio'!$L$6:$U$135,9,0))</f>
        <v/>
      </c>
      <c r="C87" s="74"/>
      <c r="D87" s="59" t="str">
        <f t="shared" si="9"/>
        <v/>
      </c>
      <c r="E87" s="74"/>
      <c r="F87" s="59" t="str">
        <f t="shared" si="10"/>
        <v/>
      </c>
      <c r="G87" s="75"/>
      <c r="H87" s="59" t="str">
        <f t="shared" si="11"/>
        <v/>
      </c>
      <c r="I87" s="64"/>
      <c r="J87" s="64"/>
      <c r="K87" s="64"/>
      <c r="M87" t="str">
        <f t="shared" si="12"/>
        <v/>
      </c>
      <c r="N87" t="str">
        <f t="shared" si="13"/>
        <v/>
      </c>
      <c r="R87">
        <v>4123</v>
      </c>
      <c r="S87" t="s">
        <v>714</v>
      </c>
      <c r="U87" t="str">
        <f t="shared" si="14"/>
        <v>41</v>
      </c>
      <c r="V87" t="str">
        <f t="shared" si="15"/>
        <v>412</v>
      </c>
    </row>
    <row r="88" spans="1:22">
      <c r="A88" s="59" t="str">
        <f>IF(C88="","",VLOOKUP('Opći dio'!$C$3,'Opći dio'!$L$6:$U$135,10,0))</f>
        <v/>
      </c>
      <c r="B88" s="59" t="str">
        <f>IF(C88="","",VLOOKUP('Opći dio'!$C$3,'Opći dio'!$L$6:$U$135,9,0))</f>
        <v/>
      </c>
      <c r="C88" s="74"/>
      <c r="D88" s="59" t="str">
        <f t="shared" si="9"/>
        <v/>
      </c>
      <c r="E88" s="74"/>
      <c r="F88" s="59" t="str">
        <f t="shared" si="10"/>
        <v/>
      </c>
      <c r="G88" s="75"/>
      <c r="H88" s="59" t="str">
        <f t="shared" si="11"/>
        <v/>
      </c>
      <c r="I88" s="64"/>
      <c r="J88" s="64"/>
      <c r="K88" s="64"/>
      <c r="M88" t="str">
        <f t="shared" si="12"/>
        <v/>
      </c>
      <c r="N88" t="str">
        <f t="shared" si="13"/>
        <v/>
      </c>
      <c r="R88">
        <v>4124</v>
      </c>
      <c r="S88" t="s">
        <v>715</v>
      </c>
      <c r="U88" t="str">
        <f t="shared" si="14"/>
        <v>41</v>
      </c>
      <c r="V88" t="str">
        <f t="shared" si="15"/>
        <v>412</v>
      </c>
    </row>
    <row r="89" spans="1:22">
      <c r="A89" s="59" t="str">
        <f>IF(C89="","",VLOOKUP('Opći dio'!$C$3,'Opći dio'!$L$6:$U$135,10,0))</f>
        <v/>
      </c>
      <c r="B89" s="59" t="str">
        <f>IF(C89="","",VLOOKUP('Opći dio'!$C$3,'Opći dio'!$L$6:$U$135,9,0))</f>
        <v/>
      </c>
      <c r="C89" s="74"/>
      <c r="D89" s="59" t="str">
        <f t="shared" si="9"/>
        <v/>
      </c>
      <c r="E89" s="74"/>
      <c r="F89" s="59" t="str">
        <f t="shared" si="10"/>
        <v/>
      </c>
      <c r="G89" s="75"/>
      <c r="H89" s="59" t="str">
        <f t="shared" si="11"/>
        <v/>
      </c>
      <c r="I89" s="64"/>
      <c r="J89" s="64"/>
      <c r="K89" s="64"/>
      <c r="M89" t="str">
        <f t="shared" si="12"/>
        <v/>
      </c>
      <c r="N89" t="str">
        <f t="shared" si="13"/>
        <v/>
      </c>
      <c r="R89">
        <v>4126</v>
      </c>
      <c r="S89" t="s">
        <v>716</v>
      </c>
      <c r="U89" t="str">
        <f t="shared" si="14"/>
        <v>41</v>
      </c>
      <c r="V89" t="str">
        <f t="shared" si="15"/>
        <v>412</v>
      </c>
    </row>
    <row r="90" spans="1:22">
      <c r="A90" s="59" t="str">
        <f>IF(C90="","",VLOOKUP('Opći dio'!$C$3,'Opći dio'!$L$6:$U$135,10,0))</f>
        <v/>
      </c>
      <c r="B90" s="59" t="str">
        <f>IF(C90="","",VLOOKUP('Opći dio'!$C$3,'Opći dio'!$L$6:$U$135,9,0))</f>
        <v/>
      </c>
      <c r="C90" s="74"/>
      <c r="D90" s="59" t="str">
        <f t="shared" si="9"/>
        <v/>
      </c>
      <c r="E90" s="74"/>
      <c r="F90" s="59" t="str">
        <f t="shared" si="10"/>
        <v/>
      </c>
      <c r="G90" s="75"/>
      <c r="H90" s="59" t="str">
        <f t="shared" si="11"/>
        <v/>
      </c>
      <c r="I90" s="64"/>
      <c r="J90" s="64"/>
      <c r="K90" s="64"/>
      <c r="M90" t="str">
        <f t="shared" si="12"/>
        <v/>
      </c>
      <c r="N90" t="str">
        <f t="shared" si="13"/>
        <v/>
      </c>
      <c r="R90">
        <v>4211</v>
      </c>
      <c r="S90" t="s">
        <v>717</v>
      </c>
      <c r="U90" t="str">
        <f t="shared" si="14"/>
        <v>42</v>
      </c>
      <c r="V90" t="str">
        <f t="shared" si="15"/>
        <v>421</v>
      </c>
    </row>
    <row r="91" spans="1:22">
      <c r="A91" s="59" t="str">
        <f>IF(C91="","",VLOOKUP('Opći dio'!$C$3,'Opći dio'!$L$6:$U$135,10,0))</f>
        <v/>
      </c>
      <c r="B91" s="59" t="str">
        <f>IF(C91="","",VLOOKUP('Opći dio'!$C$3,'Opći dio'!$L$6:$U$135,9,0))</f>
        <v/>
      </c>
      <c r="C91" s="74"/>
      <c r="D91" s="59" t="str">
        <f t="shared" si="9"/>
        <v/>
      </c>
      <c r="E91" s="74"/>
      <c r="F91" s="59" t="str">
        <f t="shared" si="10"/>
        <v/>
      </c>
      <c r="G91" s="75"/>
      <c r="H91" s="59" t="str">
        <f t="shared" si="11"/>
        <v/>
      </c>
      <c r="I91" s="64"/>
      <c r="J91" s="64"/>
      <c r="K91" s="64"/>
      <c r="M91" t="str">
        <f t="shared" si="12"/>
        <v/>
      </c>
      <c r="N91" t="str">
        <f t="shared" si="13"/>
        <v/>
      </c>
      <c r="R91">
        <v>4212</v>
      </c>
      <c r="S91" t="s">
        <v>718</v>
      </c>
      <c r="U91" t="str">
        <f t="shared" si="14"/>
        <v>42</v>
      </c>
      <c r="V91" t="str">
        <f t="shared" si="15"/>
        <v>421</v>
      </c>
    </row>
    <row r="92" spans="1:22">
      <c r="A92" s="59" t="str">
        <f>IF(C92="","",VLOOKUP('Opći dio'!$C$3,'Opći dio'!$L$6:$U$135,10,0))</f>
        <v/>
      </c>
      <c r="B92" s="59" t="str">
        <f>IF(C92="","",VLOOKUP('Opći dio'!$C$3,'Opći dio'!$L$6:$U$135,9,0))</f>
        <v/>
      </c>
      <c r="C92" s="74"/>
      <c r="D92" s="59" t="str">
        <f t="shared" si="9"/>
        <v/>
      </c>
      <c r="E92" s="74"/>
      <c r="F92" s="59" t="str">
        <f t="shared" si="10"/>
        <v/>
      </c>
      <c r="G92" s="75"/>
      <c r="H92" s="59" t="str">
        <f t="shared" si="11"/>
        <v/>
      </c>
      <c r="I92" s="64"/>
      <c r="J92" s="64"/>
      <c r="K92" s="64"/>
      <c r="M92" t="str">
        <f t="shared" si="12"/>
        <v/>
      </c>
      <c r="N92" t="str">
        <f t="shared" si="13"/>
        <v/>
      </c>
      <c r="R92">
        <v>4213</v>
      </c>
      <c r="S92" t="s">
        <v>719</v>
      </c>
      <c r="U92" t="str">
        <f t="shared" si="14"/>
        <v>42</v>
      </c>
      <c r="V92" t="str">
        <f t="shared" si="15"/>
        <v>421</v>
      </c>
    </row>
    <row r="93" spans="1:22">
      <c r="A93" s="59" t="str">
        <f>IF(C93="","",VLOOKUP('Opći dio'!$C$3,'Opći dio'!$L$6:$U$135,10,0))</f>
        <v/>
      </c>
      <c r="B93" s="59" t="str">
        <f>IF(C93="","",VLOOKUP('Opći dio'!$C$3,'Opći dio'!$L$6:$U$135,9,0))</f>
        <v/>
      </c>
      <c r="C93" s="74"/>
      <c r="D93" s="59" t="str">
        <f t="shared" si="9"/>
        <v/>
      </c>
      <c r="E93" s="74"/>
      <c r="F93" s="59" t="str">
        <f t="shared" si="10"/>
        <v/>
      </c>
      <c r="G93" s="75"/>
      <c r="H93" s="59" t="str">
        <f t="shared" si="11"/>
        <v/>
      </c>
      <c r="I93" s="64"/>
      <c r="J93" s="64"/>
      <c r="K93" s="64"/>
      <c r="M93" t="str">
        <f t="shared" si="12"/>
        <v/>
      </c>
      <c r="N93" t="str">
        <f t="shared" si="13"/>
        <v/>
      </c>
      <c r="R93">
        <v>4214</v>
      </c>
      <c r="S93" t="s">
        <v>720</v>
      </c>
      <c r="U93" t="str">
        <f t="shared" si="14"/>
        <v>42</v>
      </c>
      <c r="V93" t="str">
        <f t="shared" si="15"/>
        <v>421</v>
      </c>
    </row>
    <row r="94" spans="1:22">
      <c r="A94" s="59" t="str">
        <f>IF(C94="","",VLOOKUP('Opći dio'!$C$3,'Opći dio'!$L$6:$U$135,10,0))</f>
        <v/>
      </c>
      <c r="B94" s="59" t="str">
        <f>IF(C94="","",VLOOKUP('Opći dio'!$C$3,'Opći dio'!$L$6:$U$135,9,0))</f>
        <v/>
      </c>
      <c r="C94" s="74"/>
      <c r="D94" s="59" t="str">
        <f t="shared" si="9"/>
        <v/>
      </c>
      <c r="E94" s="74"/>
      <c r="F94" s="59" t="str">
        <f t="shared" si="10"/>
        <v/>
      </c>
      <c r="G94" s="75"/>
      <c r="H94" s="59" t="str">
        <f t="shared" si="11"/>
        <v/>
      </c>
      <c r="I94" s="64"/>
      <c r="J94" s="64"/>
      <c r="K94" s="64"/>
      <c r="M94" t="str">
        <f t="shared" si="12"/>
        <v/>
      </c>
      <c r="N94" t="str">
        <f t="shared" si="13"/>
        <v/>
      </c>
      <c r="R94">
        <v>4221</v>
      </c>
      <c r="S94" t="s">
        <v>721</v>
      </c>
      <c r="U94" t="str">
        <f t="shared" si="14"/>
        <v>42</v>
      </c>
      <c r="V94" t="str">
        <f t="shared" si="15"/>
        <v>422</v>
      </c>
    </row>
    <row r="95" spans="1:22">
      <c r="A95" s="59" t="str">
        <f>IF(C95="","",VLOOKUP('Opći dio'!$C$3,'Opći dio'!$L$6:$U$135,10,0))</f>
        <v/>
      </c>
      <c r="B95" s="59" t="str">
        <f>IF(C95="","",VLOOKUP('Opći dio'!$C$3,'Opći dio'!$L$6:$U$135,9,0))</f>
        <v/>
      </c>
      <c r="C95" s="74"/>
      <c r="D95" s="59" t="str">
        <f t="shared" si="9"/>
        <v/>
      </c>
      <c r="E95" s="74"/>
      <c r="F95" s="59" t="str">
        <f t="shared" si="10"/>
        <v/>
      </c>
      <c r="G95" s="75"/>
      <c r="H95" s="59" t="str">
        <f t="shared" si="11"/>
        <v/>
      </c>
      <c r="I95" s="64"/>
      <c r="J95" s="64"/>
      <c r="K95" s="64"/>
      <c r="M95" t="str">
        <f t="shared" si="12"/>
        <v/>
      </c>
      <c r="N95" t="str">
        <f t="shared" si="13"/>
        <v/>
      </c>
      <c r="R95">
        <v>4222</v>
      </c>
      <c r="S95" t="s">
        <v>722</v>
      </c>
      <c r="U95" t="str">
        <f t="shared" si="14"/>
        <v>42</v>
      </c>
      <c r="V95" t="str">
        <f t="shared" si="15"/>
        <v>422</v>
      </c>
    </row>
    <row r="96" spans="1:22">
      <c r="A96" s="59" t="str">
        <f>IF(C96="","",VLOOKUP('Opći dio'!$C$3,'Opći dio'!$L$6:$U$135,10,0))</f>
        <v/>
      </c>
      <c r="B96" s="59" t="str">
        <f>IF(C96="","",VLOOKUP('Opći dio'!$C$3,'Opći dio'!$L$6:$U$135,9,0))</f>
        <v/>
      </c>
      <c r="C96" s="74"/>
      <c r="D96" s="59" t="str">
        <f t="shared" si="9"/>
        <v/>
      </c>
      <c r="E96" s="74"/>
      <c r="F96" s="59" t="str">
        <f t="shared" si="10"/>
        <v/>
      </c>
      <c r="G96" s="75"/>
      <c r="H96" s="59" t="str">
        <f t="shared" si="11"/>
        <v/>
      </c>
      <c r="I96" s="64"/>
      <c r="J96" s="64"/>
      <c r="K96" s="64"/>
      <c r="M96" t="str">
        <f t="shared" si="12"/>
        <v/>
      </c>
      <c r="N96" t="str">
        <f t="shared" si="13"/>
        <v/>
      </c>
      <c r="R96">
        <v>4223</v>
      </c>
      <c r="S96" t="s">
        <v>723</v>
      </c>
      <c r="U96" t="str">
        <f t="shared" si="14"/>
        <v>42</v>
      </c>
      <c r="V96" t="str">
        <f t="shared" si="15"/>
        <v>422</v>
      </c>
    </row>
    <row r="97" spans="1:22">
      <c r="A97" s="59" t="str">
        <f>IF(C97="","",VLOOKUP('Opći dio'!$C$3,'Opći dio'!$L$6:$U$135,10,0))</f>
        <v/>
      </c>
      <c r="B97" s="59" t="str">
        <f>IF(C97="","",VLOOKUP('Opći dio'!$C$3,'Opći dio'!$L$6:$U$135,9,0))</f>
        <v/>
      </c>
      <c r="C97" s="74"/>
      <c r="D97" s="59" t="str">
        <f t="shared" si="9"/>
        <v/>
      </c>
      <c r="E97" s="74"/>
      <c r="F97" s="59" t="str">
        <f t="shared" si="10"/>
        <v/>
      </c>
      <c r="G97" s="75"/>
      <c r="H97" s="59" t="str">
        <f t="shared" si="11"/>
        <v/>
      </c>
      <c r="I97" s="64"/>
      <c r="J97" s="64"/>
      <c r="K97" s="64"/>
      <c r="M97" t="str">
        <f t="shared" si="12"/>
        <v/>
      </c>
      <c r="N97" t="str">
        <f t="shared" si="13"/>
        <v/>
      </c>
      <c r="R97">
        <v>4224</v>
      </c>
      <c r="S97" t="s">
        <v>724</v>
      </c>
      <c r="U97" t="str">
        <f t="shared" si="14"/>
        <v>42</v>
      </c>
      <c r="V97" t="str">
        <f t="shared" si="15"/>
        <v>422</v>
      </c>
    </row>
    <row r="98" spans="1:22">
      <c r="A98" s="59" t="str">
        <f>IF(C98="","",VLOOKUP('Opći dio'!$C$3,'Opći dio'!$L$6:$U$135,10,0))</f>
        <v/>
      </c>
      <c r="B98" s="59" t="str">
        <f>IF(C98="","",VLOOKUP('Opći dio'!$C$3,'Opći dio'!$L$6:$U$135,9,0))</f>
        <v/>
      </c>
      <c r="C98" s="74"/>
      <c r="D98" s="59" t="str">
        <f t="shared" si="9"/>
        <v/>
      </c>
      <c r="E98" s="74"/>
      <c r="F98" s="59" t="str">
        <f t="shared" si="10"/>
        <v/>
      </c>
      <c r="G98" s="75"/>
      <c r="H98" s="59" t="str">
        <f t="shared" si="11"/>
        <v/>
      </c>
      <c r="I98" s="64"/>
      <c r="J98" s="64"/>
      <c r="K98" s="64"/>
      <c r="M98" t="str">
        <f t="shared" si="12"/>
        <v/>
      </c>
      <c r="N98" t="str">
        <f t="shared" si="13"/>
        <v/>
      </c>
      <c r="R98">
        <v>4225</v>
      </c>
      <c r="S98" t="s">
        <v>725</v>
      </c>
      <c r="U98" t="str">
        <f t="shared" si="14"/>
        <v>42</v>
      </c>
      <c r="V98" t="str">
        <f t="shared" si="15"/>
        <v>422</v>
      </c>
    </row>
    <row r="99" spans="1:22">
      <c r="A99" s="59" t="str">
        <f>IF(C99="","",VLOOKUP('Opći dio'!$C$3,'Opći dio'!$L$6:$U$135,10,0))</f>
        <v/>
      </c>
      <c r="B99" s="59" t="str">
        <f>IF(C99="","",VLOOKUP('Opći dio'!$C$3,'Opći dio'!$L$6:$U$135,9,0))</f>
        <v/>
      </c>
      <c r="C99" s="74"/>
      <c r="D99" s="59" t="str">
        <f t="shared" si="9"/>
        <v/>
      </c>
      <c r="E99" s="74"/>
      <c r="F99" s="59" t="str">
        <f t="shared" si="10"/>
        <v/>
      </c>
      <c r="G99" s="75"/>
      <c r="H99" s="59" t="str">
        <f t="shared" si="11"/>
        <v/>
      </c>
      <c r="I99" s="64"/>
      <c r="J99" s="64"/>
      <c r="K99" s="64"/>
      <c r="M99" t="str">
        <f t="shared" si="12"/>
        <v/>
      </c>
      <c r="N99" t="str">
        <f t="shared" si="13"/>
        <v/>
      </c>
      <c r="R99">
        <v>4226</v>
      </c>
      <c r="S99" t="s">
        <v>726</v>
      </c>
      <c r="U99" t="str">
        <f t="shared" si="14"/>
        <v>42</v>
      </c>
      <c r="V99" t="str">
        <f t="shared" si="15"/>
        <v>422</v>
      </c>
    </row>
    <row r="100" spans="1:22">
      <c r="A100" s="59" t="str">
        <f>IF(C100="","",VLOOKUP('Opći dio'!$C$3,'Opći dio'!$L$6:$U$135,10,0))</f>
        <v/>
      </c>
      <c r="B100" s="59" t="str">
        <f>IF(C100="","",VLOOKUP('Opći dio'!$C$3,'Opći dio'!$L$6:$U$135,9,0))</f>
        <v/>
      </c>
      <c r="C100" s="74"/>
      <c r="D100" s="59" t="str">
        <f t="shared" si="9"/>
        <v/>
      </c>
      <c r="E100" s="74"/>
      <c r="F100" s="59" t="str">
        <f t="shared" si="10"/>
        <v/>
      </c>
      <c r="G100" s="75"/>
      <c r="H100" s="59" t="str">
        <f t="shared" si="11"/>
        <v/>
      </c>
      <c r="I100" s="64"/>
      <c r="J100" s="64"/>
      <c r="K100" s="64"/>
      <c r="M100" t="str">
        <f t="shared" si="12"/>
        <v/>
      </c>
      <c r="N100" t="str">
        <f t="shared" si="13"/>
        <v/>
      </c>
      <c r="R100">
        <v>4227</v>
      </c>
      <c r="S100" t="s">
        <v>727</v>
      </c>
      <c r="U100" t="str">
        <f t="shared" si="14"/>
        <v>42</v>
      </c>
      <c r="V100" t="str">
        <f t="shared" si="15"/>
        <v>422</v>
      </c>
    </row>
    <row r="101" spans="1:22">
      <c r="A101" s="59" t="str">
        <f>IF(C101="","",VLOOKUP('Opći dio'!$C$3,'Opći dio'!$L$6:$U$135,10,0))</f>
        <v/>
      </c>
      <c r="B101" s="59" t="str">
        <f>IF(C101="","",VLOOKUP('Opći dio'!$C$3,'Opći dio'!$L$6:$U$135,9,0))</f>
        <v/>
      </c>
      <c r="C101" s="74"/>
      <c r="D101" s="59" t="str">
        <f t="shared" si="9"/>
        <v/>
      </c>
      <c r="E101" s="74"/>
      <c r="F101" s="59" t="str">
        <f t="shared" si="10"/>
        <v/>
      </c>
      <c r="G101" s="75"/>
      <c r="H101" s="59" t="str">
        <f t="shared" si="11"/>
        <v/>
      </c>
      <c r="I101" s="64"/>
      <c r="J101" s="64"/>
      <c r="K101" s="64"/>
      <c r="M101" t="str">
        <f t="shared" si="12"/>
        <v/>
      </c>
      <c r="N101" t="str">
        <f t="shared" si="13"/>
        <v/>
      </c>
      <c r="R101">
        <v>4231</v>
      </c>
      <c r="S101" t="s">
        <v>728</v>
      </c>
      <c r="U101" t="str">
        <f t="shared" ref="U101:U129" si="16">LEFT(R101,2)</f>
        <v>42</v>
      </c>
      <c r="V101" t="str">
        <f t="shared" ref="V101:V129" si="17">LEFT(R101,3)</f>
        <v>423</v>
      </c>
    </row>
    <row r="102" spans="1:22">
      <c r="A102" s="59" t="str">
        <f>IF(C102="","",VLOOKUP('Opći dio'!$C$3,'Opći dio'!$L$6:$U$135,10,0))</f>
        <v/>
      </c>
      <c r="B102" s="59" t="str">
        <f>IF(C102="","",VLOOKUP('Opći dio'!$C$3,'Opći dio'!$L$6:$U$135,9,0))</f>
        <v/>
      </c>
      <c r="C102" s="74"/>
      <c r="D102" s="59" t="str">
        <f t="shared" si="9"/>
        <v/>
      </c>
      <c r="E102" s="74"/>
      <c r="F102" s="59" t="str">
        <f t="shared" si="10"/>
        <v/>
      </c>
      <c r="G102" s="75"/>
      <c r="H102" s="59" t="str">
        <f t="shared" si="11"/>
        <v/>
      </c>
      <c r="I102" s="64"/>
      <c r="J102" s="64"/>
      <c r="K102" s="64"/>
      <c r="M102" t="str">
        <f t="shared" si="12"/>
        <v/>
      </c>
      <c r="N102" t="str">
        <f t="shared" si="13"/>
        <v/>
      </c>
      <c r="R102">
        <v>4233</v>
      </c>
      <c r="S102" t="s">
        <v>729</v>
      </c>
      <c r="U102" t="str">
        <f t="shared" si="16"/>
        <v>42</v>
      </c>
      <c r="V102" t="str">
        <f t="shared" si="17"/>
        <v>423</v>
      </c>
    </row>
    <row r="103" spans="1:22">
      <c r="A103" s="59" t="str">
        <f>IF(C103="","",VLOOKUP('Opći dio'!$C$3,'Opći dio'!$L$6:$U$135,10,0))</f>
        <v/>
      </c>
      <c r="B103" s="59" t="str">
        <f>IF(C103="","",VLOOKUP('Opći dio'!$C$3,'Opći dio'!$L$6:$U$135,9,0))</f>
        <v/>
      </c>
      <c r="C103" s="74"/>
      <c r="D103" s="59" t="str">
        <f t="shared" si="9"/>
        <v/>
      </c>
      <c r="E103" s="74"/>
      <c r="F103" s="59" t="str">
        <f t="shared" si="10"/>
        <v/>
      </c>
      <c r="G103" s="75"/>
      <c r="H103" s="59" t="str">
        <f t="shared" si="11"/>
        <v/>
      </c>
      <c r="I103" s="64"/>
      <c r="J103" s="64"/>
      <c r="K103" s="64"/>
      <c r="M103" t="str">
        <f t="shared" si="12"/>
        <v/>
      </c>
      <c r="N103" t="str">
        <f t="shared" si="13"/>
        <v/>
      </c>
      <c r="R103">
        <v>4241</v>
      </c>
      <c r="S103" t="s">
        <v>730</v>
      </c>
      <c r="U103" t="str">
        <f t="shared" si="16"/>
        <v>42</v>
      </c>
      <c r="V103" t="str">
        <f t="shared" si="17"/>
        <v>424</v>
      </c>
    </row>
    <row r="104" spans="1:22">
      <c r="A104" s="59" t="str">
        <f>IF(C104="","",VLOOKUP('Opći dio'!$C$3,'Opći dio'!$L$6:$U$135,10,0))</f>
        <v/>
      </c>
      <c r="B104" s="59" t="str">
        <f>IF(C104="","",VLOOKUP('Opći dio'!$C$3,'Opći dio'!$L$6:$U$135,9,0))</f>
        <v/>
      </c>
      <c r="C104" s="74"/>
      <c r="D104" s="59" t="str">
        <f t="shared" si="9"/>
        <v/>
      </c>
      <c r="E104" s="74"/>
      <c r="F104" s="59" t="str">
        <f t="shared" si="10"/>
        <v/>
      </c>
      <c r="G104" s="75"/>
      <c r="H104" s="59" t="str">
        <f t="shared" si="11"/>
        <v/>
      </c>
      <c r="I104" s="64"/>
      <c r="J104" s="64"/>
      <c r="K104" s="64"/>
      <c r="M104" t="str">
        <f t="shared" si="12"/>
        <v/>
      </c>
      <c r="N104" t="str">
        <f t="shared" si="13"/>
        <v/>
      </c>
      <c r="R104">
        <v>4242</v>
      </c>
      <c r="S104" t="s">
        <v>731</v>
      </c>
      <c r="U104" t="str">
        <f t="shared" si="16"/>
        <v>42</v>
      </c>
      <c r="V104" t="str">
        <f t="shared" si="17"/>
        <v>424</v>
      </c>
    </row>
    <row r="105" spans="1:22">
      <c r="A105" s="59" t="str">
        <f>IF(C105="","",VLOOKUP('Opći dio'!$C$3,'Opći dio'!$L$6:$U$135,10,0))</f>
        <v/>
      </c>
      <c r="B105" s="59" t="str">
        <f>IF(C105="","",VLOOKUP('Opći dio'!$C$3,'Opći dio'!$L$6:$U$135,9,0))</f>
        <v/>
      </c>
      <c r="C105" s="74"/>
      <c r="D105" s="59" t="str">
        <f t="shared" si="9"/>
        <v/>
      </c>
      <c r="E105" s="74"/>
      <c r="F105" s="59" t="str">
        <f t="shared" si="10"/>
        <v/>
      </c>
      <c r="G105" s="75"/>
      <c r="H105" s="59" t="str">
        <f t="shared" si="11"/>
        <v/>
      </c>
      <c r="I105" s="64"/>
      <c r="J105" s="64"/>
      <c r="K105" s="64"/>
      <c r="M105" t="str">
        <f t="shared" si="12"/>
        <v/>
      </c>
      <c r="N105" t="str">
        <f t="shared" si="13"/>
        <v/>
      </c>
      <c r="R105">
        <v>4244</v>
      </c>
      <c r="S105" t="s">
        <v>732</v>
      </c>
      <c r="U105" t="str">
        <f t="shared" si="16"/>
        <v>42</v>
      </c>
      <c r="V105" t="str">
        <f t="shared" si="17"/>
        <v>424</v>
      </c>
    </row>
    <row r="106" spans="1:22">
      <c r="A106" s="59" t="str">
        <f>IF(C106="","",VLOOKUP('Opći dio'!$C$3,'Opći dio'!$L$6:$U$135,10,0))</f>
        <v/>
      </c>
      <c r="B106" s="59" t="str">
        <f>IF(C106="","",VLOOKUP('Opći dio'!$C$3,'Opći dio'!$L$6:$U$135,9,0))</f>
        <v/>
      </c>
      <c r="C106" s="74"/>
      <c r="D106" s="59" t="str">
        <f t="shared" si="9"/>
        <v/>
      </c>
      <c r="E106" s="74"/>
      <c r="F106" s="59" t="str">
        <f t="shared" si="10"/>
        <v/>
      </c>
      <c r="G106" s="75"/>
      <c r="H106" s="59" t="str">
        <f t="shared" si="11"/>
        <v/>
      </c>
      <c r="I106" s="64"/>
      <c r="J106" s="64"/>
      <c r="K106" s="64"/>
      <c r="M106" t="str">
        <f t="shared" si="12"/>
        <v/>
      </c>
      <c r="N106" t="str">
        <f t="shared" si="13"/>
        <v/>
      </c>
      <c r="R106">
        <v>4251</v>
      </c>
      <c r="S106" t="s">
        <v>733</v>
      </c>
      <c r="U106" t="str">
        <f t="shared" si="16"/>
        <v>42</v>
      </c>
      <c r="V106" t="str">
        <f t="shared" si="17"/>
        <v>425</v>
      </c>
    </row>
    <row r="107" spans="1:22">
      <c r="A107" s="59" t="str">
        <f>IF(C107="","",VLOOKUP('Opći dio'!$C$3,'Opći dio'!$L$6:$U$135,10,0))</f>
        <v/>
      </c>
      <c r="B107" s="59" t="str">
        <f>IF(C107="","",VLOOKUP('Opći dio'!$C$3,'Opći dio'!$L$6:$U$135,9,0))</f>
        <v/>
      </c>
      <c r="C107" s="74"/>
      <c r="D107" s="59" t="str">
        <f t="shared" si="9"/>
        <v/>
      </c>
      <c r="E107" s="74"/>
      <c r="F107" s="59" t="str">
        <f t="shared" si="10"/>
        <v/>
      </c>
      <c r="G107" s="75"/>
      <c r="H107" s="59" t="str">
        <f t="shared" si="11"/>
        <v/>
      </c>
      <c r="I107" s="64"/>
      <c r="J107" s="64"/>
      <c r="K107" s="64"/>
      <c r="M107" t="str">
        <f t="shared" si="12"/>
        <v/>
      </c>
      <c r="N107" t="str">
        <f t="shared" si="13"/>
        <v/>
      </c>
      <c r="R107">
        <v>4252</v>
      </c>
      <c r="S107" t="s">
        <v>734</v>
      </c>
      <c r="U107" t="str">
        <f t="shared" si="16"/>
        <v>42</v>
      </c>
      <c r="V107" t="str">
        <f t="shared" si="17"/>
        <v>425</v>
      </c>
    </row>
    <row r="108" spans="1:22">
      <c r="A108" s="59" t="str">
        <f>IF(C108="","",VLOOKUP('Opći dio'!$C$3,'Opći dio'!$L$6:$U$135,10,0))</f>
        <v/>
      </c>
      <c r="B108" s="59" t="str">
        <f>IF(C108="","",VLOOKUP('Opći dio'!$C$3,'Opći dio'!$L$6:$U$135,9,0))</f>
        <v/>
      </c>
      <c r="C108" s="74"/>
      <c r="D108" s="59" t="str">
        <f t="shared" si="9"/>
        <v/>
      </c>
      <c r="E108" s="74"/>
      <c r="F108" s="59" t="str">
        <f t="shared" si="10"/>
        <v/>
      </c>
      <c r="G108" s="75"/>
      <c r="H108" s="59" t="str">
        <f t="shared" si="11"/>
        <v/>
      </c>
      <c r="I108" s="64"/>
      <c r="J108" s="64"/>
      <c r="K108" s="64"/>
      <c r="M108" t="str">
        <f t="shared" si="12"/>
        <v/>
      </c>
      <c r="N108" t="str">
        <f t="shared" si="13"/>
        <v/>
      </c>
      <c r="R108">
        <v>4262</v>
      </c>
      <c r="S108" t="s">
        <v>735</v>
      </c>
      <c r="U108" t="str">
        <f t="shared" si="16"/>
        <v>42</v>
      </c>
      <c r="V108" t="str">
        <f t="shared" si="17"/>
        <v>426</v>
      </c>
    </row>
    <row r="109" spans="1:22">
      <c r="A109" s="59" t="str">
        <f>IF(C109="","",VLOOKUP('Opći dio'!$C$3,'Opći dio'!$L$6:$U$135,10,0))</f>
        <v/>
      </c>
      <c r="B109" s="59" t="str">
        <f>IF(C109="","",VLOOKUP('Opći dio'!$C$3,'Opći dio'!$L$6:$U$135,9,0))</f>
        <v/>
      </c>
      <c r="C109" s="74"/>
      <c r="D109" s="59" t="str">
        <f t="shared" si="9"/>
        <v/>
      </c>
      <c r="E109" s="74"/>
      <c r="F109" s="59" t="str">
        <f t="shared" si="10"/>
        <v/>
      </c>
      <c r="G109" s="75"/>
      <c r="H109" s="59" t="str">
        <f t="shared" si="11"/>
        <v/>
      </c>
      <c r="I109" s="64"/>
      <c r="J109" s="64"/>
      <c r="K109" s="64"/>
      <c r="M109" t="str">
        <f t="shared" si="12"/>
        <v/>
      </c>
      <c r="N109" t="str">
        <f t="shared" si="13"/>
        <v/>
      </c>
      <c r="R109">
        <v>4263</v>
      </c>
      <c r="S109" t="s">
        <v>736</v>
      </c>
      <c r="U109" t="str">
        <f t="shared" si="16"/>
        <v>42</v>
      </c>
      <c r="V109" t="str">
        <f t="shared" si="17"/>
        <v>426</v>
      </c>
    </row>
    <row r="110" spans="1:22">
      <c r="A110" s="59" t="str">
        <f>IF(C110="","",VLOOKUP('Opći dio'!$C$3,'Opći dio'!$L$6:$U$135,10,0))</f>
        <v/>
      </c>
      <c r="B110" s="59" t="str">
        <f>IF(C110="","",VLOOKUP('Opći dio'!$C$3,'Opći dio'!$L$6:$U$135,9,0))</f>
        <v/>
      </c>
      <c r="C110" s="74"/>
      <c r="D110" s="59" t="str">
        <f t="shared" si="9"/>
        <v/>
      </c>
      <c r="E110" s="74"/>
      <c r="F110" s="59" t="str">
        <f t="shared" si="10"/>
        <v/>
      </c>
      <c r="G110" s="75"/>
      <c r="H110" s="59" t="str">
        <f t="shared" si="11"/>
        <v/>
      </c>
      <c r="I110" s="64"/>
      <c r="J110" s="64"/>
      <c r="K110" s="64"/>
      <c r="M110" t="str">
        <f t="shared" si="12"/>
        <v/>
      </c>
      <c r="N110" t="str">
        <f t="shared" si="13"/>
        <v/>
      </c>
      <c r="R110">
        <v>4264</v>
      </c>
      <c r="S110" t="s">
        <v>737</v>
      </c>
      <c r="U110" t="str">
        <f t="shared" si="16"/>
        <v>42</v>
      </c>
      <c r="V110" t="str">
        <f t="shared" si="17"/>
        <v>426</v>
      </c>
    </row>
    <row r="111" spans="1:22">
      <c r="A111" s="59" t="str">
        <f>IF(C111="","",VLOOKUP('Opći dio'!$C$3,'Opći dio'!$L$6:$U$135,10,0))</f>
        <v/>
      </c>
      <c r="B111" s="59" t="str">
        <f>IF(C111="","",VLOOKUP('Opći dio'!$C$3,'Opći dio'!$L$6:$U$135,9,0))</f>
        <v/>
      </c>
      <c r="C111" s="74"/>
      <c r="D111" s="59" t="str">
        <f t="shared" si="9"/>
        <v/>
      </c>
      <c r="E111" s="74"/>
      <c r="F111" s="59" t="str">
        <f t="shared" si="10"/>
        <v/>
      </c>
      <c r="G111" s="75"/>
      <c r="H111" s="59" t="str">
        <f t="shared" si="11"/>
        <v/>
      </c>
      <c r="I111" s="64"/>
      <c r="J111" s="64"/>
      <c r="K111" s="64"/>
      <c r="M111" t="str">
        <f t="shared" si="12"/>
        <v/>
      </c>
      <c r="N111" t="str">
        <f t="shared" si="13"/>
        <v/>
      </c>
      <c r="R111">
        <v>4312</v>
      </c>
      <c r="S111" t="s">
        <v>738</v>
      </c>
      <c r="U111" t="str">
        <f t="shared" si="16"/>
        <v>43</v>
      </c>
      <c r="V111" t="str">
        <f t="shared" si="17"/>
        <v>431</v>
      </c>
    </row>
    <row r="112" spans="1:22">
      <c r="A112" s="59" t="str">
        <f>IF(C112="","",VLOOKUP('Opći dio'!$C$3,'Opći dio'!$L$6:$U$135,10,0))</f>
        <v/>
      </c>
      <c r="B112" s="59" t="str">
        <f>IF(C112="","",VLOOKUP('Opći dio'!$C$3,'Opći dio'!$L$6:$U$135,9,0))</f>
        <v/>
      </c>
      <c r="C112" s="74"/>
      <c r="D112" s="59" t="str">
        <f t="shared" si="9"/>
        <v/>
      </c>
      <c r="E112" s="74"/>
      <c r="F112" s="59" t="str">
        <f t="shared" si="10"/>
        <v/>
      </c>
      <c r="G112" s="75"/>
      <c r="H112" s="59" t="str">
        <f t="shared" si="11"/>
        <v/>
      </c>
      <c r="I112" s="64"/>
      <c r="J112" s="64"/>
      <c r="K112" s="64"/>
      <c r="M112" t="str">
        <f t="shared" si="12"/>
        <v/>
      </c>
      <c r="N112" t="str">
        <f t="shared" si="13"/>
        <v/>
      </c>
      <c r="R112">
        <v>4411</v>
      </c>
      <c r="S112" t="s">
        <v>739</v>
      </c>
      <c r="U112" t="str">
        <f t="shared" si="16"/>
        <v>44</v>
      </c>
      <c r="V112" t="str">
        <f t="shared" si="17"/>
        <v>441</v>
      </c>
    </row>
    <row r="113" spans="1:22">
      <c r="A113" s="59" t="str">
        <f>IF(C113="","",VLOOKUP('Opći dio'!$C$3,'Opći dio'!$L$6:$U$135,10,0))</f>
        <v/>
      </c>
      <c r="B113" s="59" t="str">
        <f>IF(C113="","",VLOOKUP('Opći dio'!$C$3,'Opći dio'!$L$6:$U$135,9,0))</f>
        <v/>
      </c>
      <c r="C113" s="74"/>
      <c r="D113" s="59" t="str">
        <f t="shared" si="9"/>
        <v/>
      </c>
      <c r="E113" s="74"/>
      <c r="F113" s="59" t="str">
        <f t="shared" si="10"/>
        <v/>
      </c>
      <c r="G113" s="75"/>
      <c r="H113" s="59" t="str">
        <f t="shared" si="11"/>
        <v/>
      </c>
      <c r="I113" s="64"/>
      <c r="J113" s="64"/>
      <c r="K113" s="64"/>
      <c r="M113" t="str">
        <f t="shared" si="12"/>
        <v/>
      </c>
      <c r="N113" t="str">
        <f t="shared" si="13"/>
        <v/>
      </c>
      <c r="R113">
        <v>4511</v>
      </c>
      <c r="S113" t="s">
        <v>740</v>
      </c>
      <c r="U113" t="str">
        <f t="shared" si="16"/>
        <v>45</v>
      </c>
      <c r="V113" t="str">
        <f t="shared" si="17"/>
        <v>451</v>
      </c>
    </row>
    <row r="114" spans="1:22">
      <c r="A114" s="59" t="str">
        <f>IF(C114="","",VLOOKUP('Opći dio'!$C$3,'Opći dio'!$L$6:$U$135,10,0))</f>
        <v/>
      </c>
      <c r="B114" s="59" t="str">
        <f>IF(C114="","",VLOOKUP('Opći dio'!$C$3,'Opći dio'!$L$6:$U$135,9,0))</f>
        <v/>
      </c>
      <c r="C114" s="74"/>
      <c r="D114" s="59" t="str">
        <f t="shared" si="9"/>
        <v/>
      </c>
      <c r="E114" s="74"/>
      <c r="F114" s="59" t="str">
        <f t="shared" si="10"/>
        <v/>
      </c>
      <c r="G114" s="75"/>
      <c r="H114" s="59" t="str">
        <f t="shared" si="11"/>
        <v/>
      </c>
      <c r="I114" s="64"/>
      <c r="J114" s="64"/>
      <c r="K114" s="64"/>
      <c r="M114" t="str">
        <f t="shared" si="12"/>
        <v/>
      </c>
      <c r="N114" t="str">
        <f t="shared" si="13"/>
        <v/>
      </c>
      <c r="R114">
        <v>4521</v>
      </c>
      <c r="S114" t="s">
        <v>741</v>
      </c>
      <c r="U114" t="str">
        <f t="shared" si="16"/>
        <v>45</v>
      </c>
      <c r="V114" t="str">
        <f t="shared" si="17"/>
        <v>452</v>
      </c>
    </row>
    <row r="115" spans="1:22">
      <c r="A115" s="59" t="str">
        <f>IF(C115="","",VLOOKUP('Opći dio'!$C$3,'Opći dio'!$L$6:$U$135,10,0))</f>
        <v/>
      </c>
      <c r="B115" s="59" t="str">
        <f>IF(C115="","",VLOOKUP('Opći dio'!$C$3,'Opći dio'!$L$6:$U$135,9,0))</f>
        <v/>
      </c>
      <c r="C115" s="74"/>
      <c r="D115" s="59" t="str">
        <f t="shared" si="9"/>
        <v/>
      </c>
      <c r="E115" s="74"/>
      <c r="F115" s="59" t="str">
        <f t="shared" si="10"/>
        <v/>
      </c>
      <c r="G115" s="75"/>
      <c r="H115" s="59" t="str">
        <f t="shared" si="11"/>
        <v/>
      </c>
      <c r="I115" s="64"/>
      <c r="J115" s="64"/>
      <c r="K115" s="64"/>
      <c r="M115" t="str">
        <f t="shared" si="12"/>
        <v/>
      </c>
      <c r="N115" t="str">
        <f t="shared" si="13"/>
        <v/>
      </c>
      <c r="R115">
        <v>4531</v>
      </c>
      <c r="S115" t="s">
        <v>742</v>
      </c>
      <c r="U115" t="str">
        <f t="shared" si="16"/>
        <v>45</v>
      </c>
      <c r="V115" t="str">
        <f t="shared" si="17"/>
        <v>453</v>
      </c>
    </row>
    <row r="116" spans="1:22">
      <c r="A116" s="59" t="str">
        <f>IF(C116="","",VLOOKUP('Opći dio'!$C$3,'Opći dio'!$L$6:$U$135,10,0))</f>
        <v/>
      </c>
      <c r="B116" s="59" t="str">
        <f>IF(C116="","",VLOOKUP('Opći dio'!$C$3,'Opći dio'!$L$6:$U$135,9,0))</f>
        <v/>
      </c>
      <c r="C116" s="74"/>
      <c r="D116" s="59" t="str">
        <f t="shared" si="9"/>
        <v/>
      </c>
      <c r="E116" s="74"/>
      <c r="F116" s="59" t="str">
        <f t="shared" si="10"/>
        <v/>
      </c>
      <c r="G116" s="75"/>
      <c r="H116" s="59" t="str">
        <f t="shared" si="11"/>
        <v/>
      </c>
      <c r="I116" s="64"/>
      <c r="J116" s="64"/>
      <c r="K116" s="64"/>
      <c r="M116" t="str">
        <f t="shared" si="12"/>
        <v/>
      </c>
      <c r="N116" t="str">
        <f t="shared" si="13"/>
        <v/>
      </c>
      <c r="R116">
        <v>4541</v>
      </c>
      <c r="S116" t="s">
        <v>743</v>
      </c>
      <c r="U116" t="str">
        <f t="shared" si="16"/>
        <v>45</v>
      </c>
      <c r="V116" t="str">
        <f t="shared" si="17"/>
        <v>454</v>
      </c>
    </row>
    <row r="117" spans="1:22">
      <c r="A117" s="59" t="str">
        <f>IF(C117="","",VLOOKUP('Opći dio'!$C$3,'Opći dio'!$L$6:$U$135,10,0))</f>
        <v/>
      </c>
      <c r="B117" s="59" t="str">
        <f>IF(C117="","",VLOOKUP('Opći dio'!$C$3,'Opći dio'!$L$6:$U$135,9,0))</f>
        <v/>
      </c>
      <c r="C117" s="74"/>
      <c r="D117" s="59" t="str">
        <f t="shared" si="9"/>
        <v/>
      </c>
      <c r="E117" s="74"/>
      <c r="F117" s="59" t="str">
        <f t="shared" si="10"/>
        <v/>
      </c>
      <c r="G117" s="75"/>
      <c r="H117" s="59" t="str">
        <f t="shared" si="11"/>
        <v/>
      </c>
      <c r="I117" s="64"/>
      <c r="J117" s="64"/>
      <c r="K117" s="64"/>
      <c r="M117" t="str">
        <f t="shared" si="12"/>
        <v/>
      </c>
      <c r="N117" t="str">
        <f t="shared" si="13"/>
        <v/>
      </c>
      <c r="R117">
        <v>5121</v>
      </c>
      <c r="S117" t="s">
        <v>744</v>
      </c>
      <c r="U117" t="str">
        <f t="shared" si="16"/>
        <v>51</v>
      </c>
      <c r="V117" t="str">
        <f t="shared" si="17"/>
        <v>512</v>
      </c>
    </row>
    <row r="118" spans="1:22">
      <c r="A118" s="59" t="str">
        <f>IF(C118="","",VLOOKUP('Opći dio'!$C$3,'Opći dio'!$L$6:$U$135,10,0))</f>
        <v/>
      </c>
      <c r="B118" s="59" t="str">
        <f>IF(C118="","",VLOOKUP('Opći dio'!$C$3,'Opći dio'!$L$6:$U$135,9,0))</f>
        <v/>
      </c>
      <c r="C118" s="74"/>
      <c r="D118" s="59" t="str">
        <f t="shared" si="9"/>
        <v/>
      </c>
      <c r="E118" s="74"/>
      <c r="F118" s="59" t="str">
        <f t="shared" si="10"/>
        <v/>
      </c>
      <c r="G118" s="75"/>
      <c r="H118" s="59" t="str">
        <f t="shared" si="11"/>
        <v/>
      </c>
      <c r="I118" s="64"/>
      <c r="J118" s="64"/>
      <c r="K118" s="64"/>
      <c r="M118" t="str">
        <f t="shared" si="12"/>
        <v/>
      </c>
      <c r="N118" t="str">
        <f t="shared" si="13"/>
        <v/>
      </c>
      <c r="R118">
        <v>5443</v>
      </c>
      <c r="S118" t="s">
        <v>745</v>
      </c>
      <c r="U118" t="str">
        <f t="shared" si="16"/>
        <v>54</v>
      </c>
      <c r="V118" t="str">
        <f t="shared" si="17"/>
        <v>544</v>
      </c>
    </row>
    <row r="119" spans="1:22">
      <c r="A119" s="59" t="str">
        <f>IF(C119="","",VLOOKUP('Opći dio'!$C$3,'Opći dio'!$L$6:$U$135,10,0))</f>
        <v/>
      </c>
      <c r="B119" s="59" t="str">
        <f>IF(C119="","",VLOOKUP('Opći dio'!$C$3,'Opći dio'!$L$6:$U$135,9,0))</f>
        <v/>
      </c>
      <c r="C119" s="74"/>
      <c r="D119" s="59" t="str">
        <f t="shared" si="9"/>
        <v/>
      </c>
      <c r="E119" s="74"/>
      <c r="F119" s="59" t="str">
        <f t="shared" si="10"/>
        <v/>
      </c>
      <c r="G119" s="75"/>
      <c r="H119" s="59" t="str">
        <f t="shared" si="11"/>
        <v/>
      </c>
      <c r="I119" s="64"/>
      <c r="J119" s="64"/>
      <c r="K119" s="64"/>
      <c r="M119" t="str">
        <f t="shared" si="12"/>
        <v/>
      </c>
      <c r="N119" t="str">
        <f t="shared" si="13"/>
        <v/>
      </c>
      <c r="R119">
        <v>5121</v>
      </c>
      <c r="S119" t="s">
        <v>746</v>
      </c>
      <c r="U119" t="str">
        <f t="shared" si="16"/>
        <v>51</v>
      </c>
      <c r="V119" t="str">
        <f t="shared" si="17"/>
        <v>512</v>
      </c>
    </row>
    <row r="120" spans="1:22">
      <c r="A120" s="59" t="str">
        <f>IF(C120="","",VLOOKUP('Opći dio'!$C$3,'Opći dio'!$L$6:$U$135,10,0))</f>
        <v/>
      </c>
      <c r="B120" s="59" t="str">
        <f>IF(C120="","",VLOOKUP('Opći dio'!$C$3,'Opći dio'!$L$6:$U$135,9,0))</f>
        <v/>
      </c>
      <c r="C120" s="74"/>
      <c r="D120" s="59" t="str">
        <f t="shared" si="9"/>
        <v/>
      </c>
      <c r="E120" s="74"/>
      <c r="F120" s="59" t="str">
        <f t="shared" si="10"/>
        <v/>
      </c>
      <c r="G120" s="75"/>
      <c r="H120" s="59" t="str">
        <f t="shared" si="11"/>
        <v/>
      </c>
      <c r="I120" s="64"/>
      <c r="J120" s="64"/>
      <c r="K120" s="64"/>
      <c r="M120" t="str">
        <f t="shared" si="12"/>
        <v/>
      </c>
      <c r="N120" t="str">
        <f t="shared" si="13"/>
        <v/>
      </c>
      <c r="R120">
        <v>5122</v>
      </c>
      <c r="S120" t="s">
        <v>747</v>
      </c>
      <c r="U120" t="str">
        <f t="shared" si="16"/>
        <v>51</v>
      </c>
      <c r="V120" t="str">
        <f t="shared" si="17"/>
        <v>512</v>
      </c>
    </row>
    <row r="121" spans="1:22">
      <c r="A121" s="59" t="str">
        <f>IF(C121="","",VLOOKUP('Opći dio'!$C$3,'Opći dio'!$L$6:$U$135,10,0))</f>
        <v/>
      </c>
      <c r="B121" s="59" t="str">
        <f>IF(C121="","",VLOOKUP('Opći dio'!$C$3,'Opći dio'!$L$6:$U$135,9,0))</f>
        <v/>
      </c>
      <c r="C121" s="74"/>
      <c r="D121" s="59" t="str">
        <f t="shared" si="9"/>
        <v/>
      </c>
      <c r="E121" s="74"/>
      <c r="F121" s="59" t="str">
        <f t="shared" si="10"/>
        <v/>
      </c>
      <c r="G121" s="75"/>
      <c r="H121" s="59" t="str">
        <f t="shared" si="11"/>
        <v/>
      </c>
      <c r="I121" s="64"/>
      <c r="J121" s="64"/>
      <c r="K121" s="64"/>
      <c r="M121" t="str">
        <f t="shared" si="12"/>
        <v/>
      </c>
      <c r="N121" t="str">
        <f t="shared" si="13"/>
        <v/>
      </c>
      <c r="R121">
        <v>5141</v>
      </c>
      <c r="S121" t="s">
        <v>748</v>
      </c>
      <c r="U121" t="str">
        <f t="shared" si="16"/>
        <v>51</v>
      </c>
      <c r="V121" t="str">
        <f t="shared" si="17"/>
        <v>514</v>
      </c>
    </row>
    <row r="122" spans="1:22">
      <c r="A122" s="59" t="str">
        <f>IF(C122="","",VLOOKUP('Opći dio'!$C$3,'Opći dio'!$L$6:$U$135,10,0))</f>
        <v/>
      </c>
      <c r="B122" s="59" t="str">
        <f>IF(C122="","",VLOOKUP('Opći dio'!$C$3,'Opći dio'!$L$6:$U$135,9,0))</f>
        <v/>
      </c>
      <c r="C122" s="74"/>
      <c r="D122" s="59" t="str">
        <f t="shared" si="9"/>
        <v/>
      </c>
      <c r="E122" s="74"/>
      <c r="F122" s="59" t="str">
        <f t="shared" si="10"/>
        <v/>
      </c>
      <c r="G122" s="75"/>
      <c r="H122" s="59" t="str">
        <f t="shared" si="11"/>
        <v/>
      </c>
      <c r="I122" s="64"/>
      <c r="J122" s="64"/>
      <c r="K122" s="64"/>
      <c r="M122" t="str">
        <f t="shared" si="12"/>
        <v/>
      </c>
      <c r="N122" t="str">
        <f t="shared" si="13"/>
        <v/>
      </c>
      <c r="R122">
        <v>5181</v>
      </c>
      <c r="S122" t="s">
        <v>749</v>
      </c>
      <c r="U122" t="str">
        <f t="shared" si="16"/>
        <v>51</v>
      </c>
      <c r="V122" t="str">
        <f t="shared" si="17"/>
        <v>518</v>
      </c>
    </row>
    <row r="123" spans="1:22">
      <c r="A123" s="59" t="str">
        <f>IF(C123="","",VLOOKUP('Opći dio'!$C$3,'Opći dio'!$L$6:$U$135,10,0))</f>
        <v/>
      </c>
      <c r="B123" s="59" t="str">
        <f>IF(C123="","",VLOOKUP('Opći dio'!$C$3,'Opći dio'!$L$6:$U$135,9,0))</f>
        <v/>
      </c>
      <c r="C123" s="74"/>
      <c r="D123" s="59" t="str">
        <f t="shared" si="9"/>
        <v/>
      </c>
      <c r="E123" s="74"/>
      <c r="F123" s="59" t="str">
        <f t="shared" si="10"/>
        <v/>
      </c>
      <c r="G123" s="75"/>
      <c r="H123" s="59" t="str">
        <f t="shared" si="11"/>
        <v/>
      </c>
      <c r="I123" s="64"/>
      <c r="J123" s="64"/>
      <c r="K123" s="64"/>
      <c r="M123" t="str">
        <f t="shared" si="12"/>
        <v/>
      </c>
      <c r="N123" t="str">
        <f t="shared" si="13"/>
        <v/>
      </c>
      <c r="R123">
        <v>5183</v>
      </c>
      <c r="S123" t="s">
        <v>750</v>
      </c>
      <c r="U123" t="str">
        <f t="shared" si="16"/>
        <v>51</v>
      </c>
      <c r="V123" t="str">
        <f t="shared" si="17"/>
        <v>518</v>
      </c>
    </row>
    <row r="124" spans="1:22">
      <c r="A124" s="59" t="str">
        <f>IF(C124="","",VLOOKUP('Opći dio'!$C$3,'Opći dio'!$L$6:$U$135,10,0))</f>
        <v/>
      </c>
      <c r="B124" s="59" t="str">
        <f>IF(C124="","",VLOOKUP('Opći dio'!$C$3,'Opći dio'!$L$6:$U$135,9,0))</f>
        <v/>
      </c>
      <c r="C124" s="74"/>
      <c r="D124" s="59" t="str">
        <f t="shared" si="9"/>
        <v/>
      </c>
      <c r="E124" s="74"/>
      <c r="F124" s="59" t="str">
        <f t="shared" si="10"/>
        <v/>
      </c>
      <c r="G124" s="75"/>
      <c r="H124" s="59" t="str">
        <f t="shared" si="11"/>
        <v/>
      </c>
      <c r="I124" s="64"/>
      <c r="J124" s="64"/>
      <c r="K124" s="64"/>
      <c r="M124" t="str">
        <f t="shared" si="12"/>
        <v/>
      </c>
      <c r="N124" t="str">
        <f t="shared" si="13"/>
        <v/>
      </c>
      <c r="R124">
        <v>5422</v>
      </c>
      <c r="S124" t="s">
        <v>751</v>
      </c>
      <c r="U124" t="str">
        <f t="shared" si="16"/>
        <v>54</v>
      </c>
      <c r="V124" t="str">
        <f t="shared" si="17"/>
        <v>542</v>
      </c>
    </row>
    <row r="125" spans="1:22">
      <c r="A125" s="59" t="str">
        <f>IF(C125="","",VLOOKUP('Opći dio'!$C$3,'Opći dio'!$L$6:$U$135,10,0))</f>
        <v/>
      </c>
      <c r="B125" s="59" t="str">
        <f>IF(C125="","",VLOOKUP('Opći dio'!$C$3,'Opći dio'!$L$6:$U$135,9,0))</f>
        <v/>
      </c>
      <c r="C125" s="74"/>
      <c r="D125" s="59" t="str">
        <f t="shared" si="9"/>
        <v/>
      </c>
      <c r="E125" s="74"/>
      <c r="F125" s="59" t="str">
        <f t="shared" si="10"/>
        <v/>
      </c>
      <c r="G125" s="75"/>
      <c r="H125" s="59" t="str">
        <f t="shared" si="11"/>
        <v/>
      </c>
      <c r="I125" s="64"/>
      <c r="J125" s="64"/>
      <c r="K125" s="64"/>
      <c r="M125" t="str">
        <f t="shared" si="12"/>
        <v/>
      </c>
      <c r="N125" t="str">
        <f t="shared" si="13"/>
        <v/>
      </c>
      <c r="R125">
        <v>5431</v>
      </c>
      <c r="S125" t="s">
        <v>752</v>
      </c>
      <c r="U125" t="str">
        <f t="shared" si="16"/>
        <v>54</v>
      </c>
      <c r="V125" t="str">
        <f t="shared" si="17"/>
        <v>543</v>
      </c>
    </row>
    <row r="126" spans="1:22">
      <c r="A126" s="59" t="str">
        <f>IF(C126="","",VLOOKUP('Opći dio'!$C$3,'Opći dio'!$L$6:$U$135,10,0))</f>
        <v/>
      </c>
      <c r="B126" s="59" t="str">
        <f>IF(C126="","",VLOOKUP('Opći dio'!$C$3,'Opći dio'!$L$6:$U$135,9,0))</f>
        <v/>
      </c>
      <c r="C126" s="74"/>
      <c r="D126" s="59" t="str">
        <f t="shared" si="9"/>
        <v/>
      </c>
      <c r="E126" s="74"/>
      <c r="F126" s="59" t="str">
        <f t="shared" si="10"/>
        <v/>
      </c>
      <c r="G126" s="75"/>
      <c r="H126" s="59" t="str">
        <f t="shared" si="11"/>
        <v/>
      </c>
      <c r="I126" s="64"/>
      <c r="J126" s="64"/>
      <c r="K126" s="64"/>
      <c r="M126" t="str">
        <f t="shared" si="12"/>
        <v/>
      </c>
      <c r="N126" t="str">
        <f t="shared" si="13"/>
        <v/>
      </c>
      <c r="R126">
        <v>5443</v>
      </c>
      <c r="S126" t="s">
        <v>753</v>
      </c>
      <c r="U126" t="str">
        <f t="shared" si="16"/>
        <v>54</v>
      </c>
      <c r="V126" t="str">
        <f t="shared" si="17"/>
        <v>544</v>
      </c>
    </row>
    <row r="127" spans="1:22">
      <c r="A127" s="59" t="str">
        <f>IF(C127="","",VLOOKUP('Opći dio'!$C$3,'Opći dio'!$L$6:$U$135,10,0))</f>
        <v/>
      </c>
      <c r="B127" s="59" t="str">
        <f>IF(C127="","",VLOOKUP('Opći dio'!$C$3,'Opći dio'!$L$6:$U$135,9,0))</f>
        <v/>
      </c>
      <c r="C127" s="74"/>
      <c r="D127" s="59" t="str">
        <f t="shared" si="9"/>
        <v/>
      </c>
      <c r="E127" s="74"/>
      <c r="F127" s="59" t="str">
        <f t="shared" si="10"/>
        <v/>
      </c>
      <c r="G127" s="75"/>
      <c r="H127" s="59" t="str">
        <f t="shared" si="11"/>
        <v/>
      </c>
      <c r="I127" s="64"/>
      <c r="J127" s="64"/>
      <c r="K127" s="64"/>
      <c r="M127" t="str">
        <f t="shared" si="12"/>
        <v/>
      </c>
      <c r="N127" t="str">
        <f t="shared" si="13"/>
        <v/>
      </c>
      <c r="R127">
        <v>5445</v>
      </c>
      <c r="S127" t="s">
        <v>754</v>
      </c>
      <c r="U127" t="str">
        <f t="shared" si="16"/>
        <v>54</v>
      </c>
      <c r="V127" t="str">
        <f t="shared" si="17"/>
        <v>544</v>
      </c>
    </row>
    <row r="128" spans="1:22">
      <c r="A128" s="59" t="str">
        <f>IF(C128="","",VLOOKUP('Opći dio'!$C$3,'Opći dio'!$L$6:$U$135,10,0))</f>
        <v/>
      </c>
      <c r="B128" s="59" t="str">
        <f>IF(C128="","",VLOOKUP('Opći dio'!$C$3,'Opći dio'!$L$6:$U$135,9,0))</f>
        <v/>
      </c>
      <c r="C128" s="74"/>
      <c r="D128" s="59" t="str">
        <f t="shared" si="9"/>
        <v/>
      </c>
      <c r="E128" s="74"/>
      <c r="F128" s="59" t="str">
        <f t="shared" si="10"/>
        <v/>
      </c>
      <c r="G128" s="75"/>
      <c r="H128" s="59" t="str">
        <f t="shared" si="11"/>
        <v/>
      </c>
      <c r="I128" s="64"/>
      <c r="J128" s="64"/>
      <c r="K128" s="64"/>
      <c r="M128" t="str">
        <f t="shared" si="12"/>
        <v/>
      </c>
      <c r="N128" t="str">
        <f t="shared" si="13"/>
        <v/>
      </c>
      <c r="R128">
        <v>5453</v>
      </c>
      <c r="S128" t="s">
        <v>755</v>
      </c>
      <c r="U128" t="str">
        <f t="shared" si="16"/>
        <v>54</v>
      </c>
      <c r="V128" t="str">
        <f t="shared" si="17"/>
        <v>545</v>
      </c>
    </row>
    <row r="129" spans="1:22">
      <c r="A129" s="59" t="str">
        <f>IF(C129="","",VLOOKUP('Opći dio'!$C$3,'Opći dio'!$L$6:$U$135,10,0))</f>
        <v/>
      </c>
      <c r="B129" s="59" t="str">
        <f>IF(C129="","",VLOOKUP('Opći dio'!$C$3,'Opći dio'!$L$6:$U$135,9,0))</f>
        <v/>
      </c>
      <c r="C129" s="74"/>
      <c r="D129" s="59" t="str">
        <f t="shared" si="9"/>
        <v/>
      </c>
      <c r="E129" s="74"/>
      <c r="F129" s="59" t="str">
        <f t="shared" si="10"/>
        <v/>
      </c>
      <c r="G129" s="75"/>
      <c r="H129" s="59" t="str">
        <f t="shared" si="11"/>
        <v/>
      </c>
      <c r="I129" s="64"/>
      <c r="J129" s="64"/>
      <c r="K129" s="64"/>
      <c r="M129" t="str">
        <f t="shared" si="12"/>
        <v/>
      </c>
      <c r="N129" t="str">
        <f t="shared" si="13"/>
        <v/>
      </c>
      <c r="R129">
        <v>5472</v>
      </c>
      <c r="S129" t="s">
        <v>756</v>
      </c>
      <c r="U129" t="str">
        <f t="shared" si="16"/>
        <v>54</v>
      </c>
      <c r="V129" t="str">
        <f t="shared" si="17"/>
        <v>547</v>
      </c>
    </row>
    <row r="130" spans="1:22">
      <c r="A130" s="59" t="str">
        <f>IF(C130="","",VLOOKUP('Opći dio'!$C$3,'Opći dio'!$L$6:$U$135,10,0))</f>
        <v/>
      </c>
      <c r="B130" s="59" t="str">
        <f>IF(C130="","",VLOOKUP('Opći dio'!$C$3,'Opći dio'!$L$6:$U$135,9,0))</f>
        <v/>
      </c>
      <c r="C130" s="74"/>
      <c r="D130" s="59" t="str">
        <f t="shared" si="9"/>
        <v/>
      </c>
      <c r="E130" s="74"/>
      <c r="F130" s="59" t="str">
        <f t="shared" si="10"/>
        <v/>
      </c>
      <c r="G130" s="75"/>
      <c r="H130" s="59" t="str">
        <f t="shared" si="11"/>
        <v/>
      </c>
      <c r="I130" s="64"/>
      <c r="J130" s="64"/>
      <c r="K130" s="64"/>
      <c r="M130" t="str">
        <f t="shared" si="12"/>
        <v/>
      </c>
      <c r="N130" t="str">
        <f t="shared" si="13"/>
        <v/>
      </c>
    </row>
    <row r="131" spans="1:22">
      <c r="A131" s="59" t="str">
        <f>IF(C131="","",VLOOKUP('Opći dio'!$C$3,'Opći dio'!$L$6:$U$135,10,0))</f>
        <v/>
      </c>
      <c r="B131" s="59" t="str">
        <f>IF(C131="","",VLOOKUP('Opći dio'!$C$3,'Opći dio'!$L$6:$U$135,9,0))</f>
        <v/>
      </c>
      <c r="C131" s="74"/>
      <c r="D131" s="59" t="str">
        <f t="shared" ref="D131:D194" si="18">IFERROR(VLOOKUP(C131,$O$6:$P$16,2,0),"")</f>
        <v/>
      </c>
      <c r="E131" s="74"/>
      <c r="F131" s="59" t="str">
        <f t="shared" ref="F131:F194" si="19">IFERROR(VLOOKUP(E131,$R$5:$T$129,2,0),"")</f>
        <v/>
      </c>
      <c r="G131" s="75"/>
      <c r="H131" s="59" t="str">
        <f t="shared" ref="H131:H194" si="20">IFERROR(VLOOKUP(G131,$X$6:$Y$50,2,0),"")</f>
        <v/>
      </c>
      <c r="I131" s="64"/>
      <c r="J131" s="64"/>
      <c r="K131" s="64"/>
      <c r="M131" t="str">
        <f t="shared" ref="M131:M194" si="21">LEFT(E131,3)</f>
        <v/>
      </c>
      <c r="N131" t="str">
        <f t="shared" ref="N131:N194" si="22">LEFT(E131,2)</f>
        <v/>
      </c>
    </row>
    <row r="132" spans="1:22">
      <c r="A132" s="59" t="str">
        <f>IF(C132="","",VLOOKUP('Opći dio'!$C$3,'Opći dio'!$L$6:$U$135,10,0))</f>
        <v/>
      </c>
      <c r="B132" s="59" t="str">
        <f>IF(C132="","",VLOOKUP('Opći dio'!$C$3,'Opći dio'!$L$6:$U$135,9,0))</f>
        <v/>
      </c>
      <c r="C132" s="74"/>
      <c r="D132" s="59" t="str">
        <f t="shared" si="18"/>
        <v/>
      </c>
      <c r="E132" s="74"/>
      <c r="F132" s="59" t="str">
        <f t="shared" si="19"/>
        <v/>
      </c>
      <c r="G132" s="75"/>
      <c r="H132" s="59" t="str">
        <f t="shared" si="20"/>
        <v/>
      </c>
      <c r="I132" s="64"/>
      <c r="J132" s="64"/>
      <c r="K132" s="64"/>
      <c r="M132" t="str">
        <f t="shared" si="21"/>
        <v/>
      </c>
      <c r="N132" t="str">
        <f t="shared" si="22"/>
        <v/>
      </c>
    </row>
    <row r="133" spans="1:22">
      <c r="A133" s="59" t="str">
        <f>IF(C133="","",VLOOKUP('Opći dio'!$C$3,'Opći dio'!$L$6:$U$135,10,0))</f>
        <v/>
      </c>
      <c r="B133" s="59" t="str">
        <f>IF(C133="","",VLOOKUP('Opći dio'!$C$3,'Opći dio'!$L$6:$U$135,9,0))</f>
        <v/>
      </c>
      <c r="C133" s="74"/>
      <c r="D133" s="59" t="str">
        <f t="shared" si="18"/>
        <v/>
      </c>
      <c r="E133" s="74"/>
      <c r="F133" s="59" t="str">
        <f t="shared" si="19"/>
        <v/>
      </c>
      <c r="G133" s="75"/>
      <c r="H133" s="59" t="str">
        <f t="shared" si="20"/>
        <v/>
      </c>
      <c r="I133" s="64"/>
      <c r="J133" s="64"/>
      <c r="K133" s="64"/>
      <c r="M133" t="str">
        <f t="shared" si="21"/>
        <v/>
      </c>
      <c r="N133" t="str">
        <f t="shared" si="22"/>
        <v/>
      </c>
    </row>
    <row r="134" spans="1:22">
      <c r="A134" s="59" t="str">
        <f>IF(C134="","",VLOOKUP('Opći dio'!$C$3,'Opći dio'!$L$6:$U$135,10,0))</f>
        <v/>
      </c>
      <c r="B134" s="59" t="str">
        <f>IF(C134="","",VLOOKUP('Opći dio'!$C$3,'Opći dio'!$L$6:$U$135,9,0))</f>
        <v/>
      </c>
      <c r="C134" s="74"/>
      <c r="D134" s="59" t="str">
        <f t="shared" si="18"/>
        <v/>
      </c>
      <c r="E134" s="74"/>
      <c r="F134" s="59" t="str">
        <f t="shared" si="19"/>
        <v/>
      </c>
      <c r="G134" s="75"/>
      <c r="H134" s="59" t="str">
        <f t="shared" si="20"/>
        <v/>
      </c>
      <c r="I134" s="64"/>
      <c r="J134" s="64"/>
      <c r="K134" s="64"/>
      <c r="M134" t="str">
        <f t="shared" si="21"/>
        <v/>
      </c>
      <c r="N134" t="str">
        <f t="shared" si="22"/>
        <v/>
      </c>
    </row>
    <row r="135" spans="1:22">
      <c r="A135" s="59" t="str">
        <f>IF(C135="","",VLOOKUP('Opći dio'!$C$3,'Opći dio'!$L$6:$U$135,10,0))</f>
        <v/>
      </c>
      <c r="B135" s="59" t="str">
        <f>IF(C135="","",VLOOKUP('Opći dio'!$C$3,'Opći dio'!$L$6:$U$135,9,0))</f>
        <v/>
      </c>
      <c r="C135" s="74"/>
      <c r="D135" s="59" t="str">
        <f t="shared" si="18"/>
        <v/>
      </c>
      <c r="E135" s="74"/>
      <c r="F135" s="59" t="str">
        <f t="shared" si="19"/>
        <v/>
      </c>
      <c r="G135" s="75"/>
      <c r="H135" s="59" t="str">
        <f t="shared" si="20"/>
        <v/>
      </c>
      <c r="I135" s="64"/>
      <c r="J135" s="64"/>
      <c r="K135" s="64"/>
      <c r="M135" t="str">
        <f t="shared" si="21"/>
        <v/>
      </c>
      <c r="N135" t="str">
        <f t="shared" si="22"/>
        <v/>
      </c>
    </row>
    <row r="136" spans="1:22">
      <c r="A136" s="59" t="str">
        <f>IF(C136="","",VLOOKUP('Opći dio'!$C$3,'Opći dio'!$L$6:$U$135,10,0))</f>
        <v/>
      </c>
      <c r="B136" s="59" t="str">
        <f>IF(C136="","",VLOOKUP('Opći dio'!$C$3,'Opći dio'!$L$6:$U$135,9,0))</f>
        <v/>
      </c>
      <c r="C136" s="74"/>
      <c r="D136" s="59" t="str">
        <f t="shared" si="18"/>
        <v/>
      </c>
      <c r="E136" s="74"/>
      <c r="F136" s="59" t="str">
        <f t="shared" si="19"/>
        <v/>
      </c>
      <c r="G136" s="75"/>
      <c r="H136" s="59" t="str">
        <f t="shared" si="20"/>
        <v/>
      </c>
      <c r="I136" s="64"/>
      <c r="J136" s="64"/>
      <c r="K136" s="64"/>
      <c r="M136" t="str">
        <f t="shared" si="21"/>
        <v/>
      </c>
      <c r="N136" t="str">
        <f t="shared" si="22"/>
        <v/>
      </c>
    </row>
    <row r="137" spans="1:22">
      <c r="A137" s="59" t="str">
        <f>IF(C137="","",VLOOKUP('Opći dio'!$C$3,'Opći dio'!$L$6:$U$135,10,0))</f>
        <v/>
      </c>
      <c r="B137" s="59" t="str">
        <f>IF(C137="","",VLOOKUP('Opći dio'!$C$3,'Opći dio'!$L$6:$U$135,9,0))</f>
        <v/>
      </c>
      <c r="C137" s="74"/>
      <c r="D137" s="59" t="str">
        <f t="shared" si="18"/>
        <v/>
      </c>
      <c r="E137" s="74"/>
      <c r="F137" s="59" t="str">
        <f t="shared" si="19"/>
        <v/>
      </c>
      <c r="G137" s="75"/>
      <c r="H137" s="59" t="str">
        <f t="shared" si="20"/>
        <v/>
      </c>
      <c r="I137" s="64"/>
      <c r="J137" s="64"/>
      <c r="K137" s="64"/>
      <c r="M137" t="str">
        <f t="shared" si="21"/>
        <v/>
      </c>
      <c r="N137" t="str">
        <f t="shared" si="22"/>
        <v/>
      </c>
    </row>
    <row r="138" spans="1:22">
      <c r="A138" s="59" t="str">
        <f>IF(C138="","",VLOOKUP('Opći dio'!$C$3,'Opći dio'!$L$6:$U$135,10,0))</f>
        <v/>
      </c>
      <c r="B138" s="59" t="str">
        <f>IF(C138="","",VLOOKUP('Opći dio'!$C$3,'Opći dio'!$L$6:$U$135,9,0))</f>
        <v/>
      </c>
      <c r="C138" s="74"/>
      <c r="D138" s="59" t="str">
        <f t="shared" si="18"/>
        <v/>
      </c>
      <c r="E138" s="74"/>
      <c r="F138" s="59" t="str">
        <f t="shared" si="19"/>
        <v/>
      </c>
      <c r="G138" s="75"/>
      <c r="H138" s="59" t="str">
        <f t="shared" si="20"/>
        <v/>
      </c>
      <c r="I138" s="64"/>
      <c r="J138" s="64"/>
      <c r="K138" s="64"/>
      <c r="M138" t="str">
        <f t="shared" si="21"/>
        <v/>
      </c>
      <c r="N138" t="str">
        <f t="shared" si="22"/>
        <v/>
      </c>
    </row>
    <row r="139" spans="1:22">
      <c r="A139" s="59" t="str">
        <f>IF(C139="","",VLOOKUP('Opći dio'!$C$3,'Opći dio'!$L$6:$U$135,10,0))</f>
        <v/>
      </c>
      <c r="B139" s="59" t="str">
        <f>IF(C139="","",VLOOKUP('Opći dio'!$C$3,'Opći dio'!$L$6:$U$135,9,0))</f>
        <v/>
      </c>
      <c r="C139" s="74"/>
      <c r="D139" s="59" t="str">
        <f t="shared" si="18"/>
        <v/>
      </c>
      <c r="E139" s="74"/>
      <c r="F139" s="59" t="str">
        <f t="shared" si="19"/>
        <v/>
      </c>
      <c r="G139" s="75"/>
      <c r="H139" s="59" t="str">
        <f t="shared" si="20"/>
        <v/>
      </c>
      <c r="I139" s="64"/>
      <c r="J139" s="64"/>
      <c r="K139" s="64"/>
      <c r="M139" t="str">
        <f t="shared" si="21"/>
        <v/>
      </c>
      <c r="N139" t="str">
        <f t="shared" si="22"/>
        <v/>
      </c>
    </row>
    <row r="140" spans="1:22">
      <c r="A140" s="59" t="str">
        <f>IF(C140="","",VLOOKUP('Opći dio'!$C$3,'Opći dio'!$L$6:$U$135,10,0))</f>
        <v/>
      </c>
      <c r="B140" s="59" t="str">
        <f>IF(C140="","",VLOOKUP('Opći dio'!$C$3,'Opći dio'!$L$6:$U$135,9,0))</f>
        <v/>
      </c>
      <c r="C140" s="74"/>
      <c r="D140" s="59" t="str">
        <f t="shared" si="18"/>
        <v/>
      </c>
      <c r="E140" s="74"/>
      <c r="F140" s="59" t="str">
        <f t="shared" si="19"/>
        <v/>
      </c>
      <c r="G140" s="75"/>
      <c r="H140" s="59" t="str">
        <f t="shared" si="20"/>
        <v/>
      </c>
      <c r="I140" s="64"/>
      <c r="J140" s="64"/>
      <c r="K140" s="64"/>
      <c r="M140" t="str">
        <f t="shared" si="21"/>
        <v/>
      </c>
      <c r="N140" t="str">
        <f t="shared" si="22"/>
        <v/>
      </c>
    </row>
    <row r="141" spans="1:22">
      <c r="A141" s="59" t="str">
        <f>IF(C141="","",VLOOKUP('Opći dio'!$C$3,'Opći dio'!$L$6:$U$135,10,0))</f>
        <v/>
      </c>
      <c r="B141" s="59" t="str">
        <f>IF(C141="","",VLOOKUP('Opći dio'!$C$3,'Opći dio'!$L$6:$U$135,9,0))</f>
        <v/>
      </c>
      <c r="C141" s="74"/>
      <c r="D141" s="59" t="str">
        <f t="shared" si="18"/>
        <v/>
      </c>
      <c r="E141" s="74"/>
      <c r="F141" s="59" t="str">
        <f t="shared" si="19"/>
        <v/>
      </c>
      <c r="G141" s="75"/>
      <c r="H141" s="59" t="str">
        <f t="shared" si="20"/>
        <v/>
      </c>
      <c r="I141" s="64"/>
      <c r="J141" s="64"/>
      <c r="K141" s="64"/>
      <c r="M141" t="str">
        <f t="shared" si="21"/>
        <v/>
      </c>
      <c r="N141" t="str">
        <f t="shared" si="22"/>
        <v/>
      </c>
    </row>
    <row r="142" spans="1:22">
      <c r="A142" s="59" t="str">
        <f>IF(C142="","",VLOOKUP('Opći dio'!$C$3,'Opći dio'!$L$6:$U$135,10,0))</f>
        <v/>
      </c>
      <c r="B142" s="59" t="str">
        <f>IF(C142="","",VLOOKUP('Opći dio'!$C$3,'Opći dio'!$L$6:$U$135,9,0))</f>
        <v/>
      </c>
      <c r="C142" s="74"/>
      <c r="D142" s="59" t="str">
        <f t="shared" si="18"/>
        <v/>
      </c>
      <c r="E142" s="74"/>
      <c r="F142" s="59" t="str">
        <f t="shared" si="19"/>
        <v/>
      </c>
      <c r="G142" s="75"/>
      <c r="H142" s="59" t="str">
        <f t="shared" si="20"/>
        <v/>
      </c>
      <c r="I142" s="64"/>
      <c r="J142" s="64"/>
      <c r="K142" s="64"/>
      <c r="M142" t="str">
        <f t="shared" si="21"/>
        <v/>
      </c>
      <c r="N142" t="str">
        <f t="shared" si="22"/>
        <v/>
      </c>
    </row>
    <row r="143" spans="1:22">
      <c r="A143" s="59" t="str">
        <f>IF(C143="","",VLOOKUP('Opći dio'!$C$3,'Opći dio'!$L$6:$U$135,10,0))</f>
        <v/>
      </c>
      <c r="B143" s="59" t="str">
        <f>IF(C143="","",VLOOKUP('Opći dio'!$C$3,'Opći dio'!$L$6:$U$135,9,0))</f>
        <v/>
      </c>
      <c r="C143" s="74"/>
      <c r="D143" s="59" t="str">
        <f t="shared" si="18"/>
        <v/>
      </c>
      <c r="E143" s="74"/>
      <c r="F143" s="59" t="str">
        <f t="shared" si="19"/>
        <v/>
      </c>
      <c r="G143" s="75"/>
      <c r="H143" s="59" t="str">
        <f t="shared" si="20"/>
        <v/>
      </c>
      <c r="I143" s="64"/>
      <c r="J143" s="64"/>
      <c r="K143" s="64"/>
      <c r="M143" t="str">
        <f t="shared" si="21"/>
        <v/>
      </c>
      <c r="N143" t="str">
        <f t="shared" si="22"/>
        <v/>
      </c>
    </row>
    <row r="144" spans="1:22">
      <c r="A144" s="59" t="str">
        <f>IF(C144="","",VLOOKUP('Opći dio'!$C$3,'Opći dio'!$L$6:$U$135,10,0))</f>
        <v/>
      </c>
      <c r="B144" s="59" t="str">
        <f>IF(C144="","",VLOOKUP('Opći dio'!$C$3,'Opći dio'!$L$6:$U$135,9,0))</f>
        <v/>
      </c>
      <c r="C144" s="74"/>
      <c r="D144" s="59" t="str">
        <f t="shared" si="18"/>
        <v/>
      </c>
      <c r="E144" s="74"/>
      <c r="F144" s="59" t="str">
        <f t="shared" si="19"/>
        <v/>
      </c>
      <c r="G144" s="75"/>
      <c r="H144" s="59" t="str">
        <f t="shared" si="20"/>
        <v/>
      </c>
      <c r="I144" s="64"/>
      <c r="J144" s="64"/>
      <c r="K144" s="64"/>
      <c r="M144" t="str">
        <f t="shared" si="21"/>
        <v/>
      </c>
      <c r="N144" t="str">
        <f t="shared" si="22"/>
        <v/>
      </c>
    </row>
    <row r="145" spans="1:14">
      <c r="A145" s="59" t="str">
        <f>IF(C145="","",VLOOKUP('Opći dio'!$C$3,'Opći dio'!$L$6:$U$135,10,0))</f>
        <v/>
      </c>
      <c r="B145" s="59" t="str">
        <f>IF(C145="","",VLOOKUP('Opći dio'!$C$3,'Opći dio'!$L$6:$U$135,9,0))</f>
        <v/>
      </c>
      <c r="C145" s="74"/>
      <c r="D145" s="59" t="str">
        <f t="shared" si="18"/>
        <v/>
      </c>
      <c r="E145" s="74"/>
      <c r="F145" s="59" t="str">
        <f t="shared" si="19"/>
        <v/>
      </c>
      <c r="G145" s="75"/>
      <c r="H145" s="59" t="str">
        <f t="shared" si="20"/>
        <v/>
      </c>
      <c r="I145" s="64"/>
      <c r="J145" s="64"/>
      <c r="K145" s="64"/>
      <c r="M145" t="str">
        <f t="shared" si="21"/>
        <v/>
      </c>
      <c r="N145" t="str">
        <f t="shared" si="22"/>
        <v/>
      </c>
    </row>
    <row r="146" spans="1:14">
      <c r="A146" s="59" t="str">
        <f>IF(C146="","",VLOOKUP('Opći dio'!$C$3,'Opći dio'!$L$6:$U$135,10,0))</f>
        <v/>
      </c>
      <c r="B146" s="59" t="str">
        <f>IF(C146="","",VLOOKUP('Opći dio'!$C$3,'Opći dio'!$L$6:$U$135,9,0))</f>
        <v/>
      </c>
      <c r="C146" s="74"/>
      <c r="D146" s="59" t="str">
        <f t="shared" si="18"/>
        <v/>
      </c>
      <c r="E146" s="74"/>
      <c r="F146" s="59" t="str">
        <f t="shared" si="19"/>
        <v/>
      </c>
      <c r="G146" s="75"/>
      <c r="H146" s="59" t="str">
        <f t="shared" si="20"/>
        <v/>
      </c>
      <c r="I146" s="64"/>
      <c r="J146" s="64"/>
      <c r="K146" s="64"/>
      <c r="M146" t="str">
        <f t="shared" si="21"/>
        <v/>
      </c>
      <c r="N146" t="str">
        <f t="shared" si="22"/>
        <v/>
      </c>
    </row>
    <row r="147" spans="1:14">
      <c r="A147" s="59" t="str">
        <f>IF(C147="","",VLOOKUP('Opći dio'!$C$3,'Opći dio'!$L$6:$U$135,10,0))</f>
        <v/>
      </c>
      <c r="B147" s="59" t="str">
        <f>IF(C147="","",VLOOKUP('Opći dio'!$C$3,'Opći dio'!$L$6:$U$135,9,0))</f>
        <v/>
      </c>
      <c r="C147" s="74"/>
      <c r="D147" s="59" t="str">
        <f t="shared" si="18"/>
        <v/>
      </c>
      <c r="E147" s="74"/>
      <c r="F147" s="59" t="str">
        <f t="shared" si="19"/>
        <v/>
      </c>
      <c r="G147" s="75"/>
      <c r="H147" s="59" t="str">
        <f t="shared" si="20"/>
        <v/>
      </c>
      <c r="I147" s="64"/>
      <c r="J147" s="64"/>
      <c r="K147" s="64"/>
      <c r="M147" t="str">
        <f t="shared" si="21"/>
        <v/>
      </c>
      <c r="N147" t="str">
        <f t="shared" si="22"/>
        <v/>
      </c>
    </row>
    <row r="148" spans="1:14">
      <c r="A148" s="59" t="str">
        <f>IF(C148="","",VLOOKUP('Opći dio'!$C$3,'Opći dio'!$L$6:$U$135,10,0))</f>
        <v/>
      </c>
      <c r="B148" s="59" t="str">
        <f>IF(C148="","",VLOOKUP('Opći dio'!$C$3,'Opći dio'!$L$6:$U$135,9,0))</f>
        <v/>
      </c>
      <c r="C148" s="74"/>
      <c r="D148" s="59" t="str">
        <f t="shared" si="18"/>
        <v/>
      </c>
      <c r="E148" s="74"/>
      <c r="F148" s="59" t="str">
        <f t="shared" si="19"/>
        <v/>
      </c>
      <c r="G148" s="75"/>
      <c r="H148" s="59" t="str">
        <f t="shared" si="20"/>
        <v/>
      </c>
      <c r="I148" s="64"/>
      <c r="J148" s="64"/>
      <c r="K148" s="64"/>
      <c r="M148" t="str">
        <f t="shared" si="21"/>
        <v/>
      </c>
      <c r="N148" t="str">
        <f t="shared" si="22"/>
        <v/>
      </c>
    </row>
    <row r="149" spans="1:14">
      <c r="A149" s="59" t="str">
        <f>IF(C149="","",VLOOKUP('Opći dio'!$C$3,'Opći dio'!$L$6:$U$135,10,0))</f>
        <v/>
      </c>
      <c r="B149" s="59" t="str">
        <f>IF(C149="","",VLOOKUP('Opći dio'!$C$3,'Opći dio'!$L$6:$U$135,9,0))</f>
        <v/>
      </c>
      <c r="C149" s="74"/>
      <c r="D149" s="59" t="str">
        <f t="shared" si="18"/>
        <v/>
      </c>
      <c r="E149" s="74"/>
      <c r="F149" s="59" t="str">
        <f t="shared" si="19"/>
        <v/>
      </c>
      <c r="G149" s="75"/>
      <c r="H149" s="59" t="str">
        <f t="shared" si="20"/>
        <v/>
      </c>
      <c r="I149" s="64"/>
      <c r="J149" s="64"/>
      <c r="K149" s="64"/>
      <c r="M149" t="str">
        <f t="shared" si="21"/>
        <v/>
      </c>
      <c r="N149" t="str">
        <f t="shared" si="22"/>
        <v/>
      </c>
    </row>
    <row r="150" spans="1:14">
      <c r="A150" s="59" t="str">
        <f>IF(C150="","",VLOOKUP('Opći dio'!$C$3,'Opći dio'!$L$6:$U$135,10,0))</f>
        <v/>
      </c>
      <c r="B150" s="59" t="str">
        <f>IF(C150="","",VLOOKUP('Opći dio'!$C$3,'Opći dio'!$L$6:$U$135,9,0))</f>
        <v/>
      </c>
      <c r="C150" s="74"/>
      <c r="D150" s="59" t="str">
        <f t="shared" si="18"/>
        <v/>
      </c>
      <c r="E150" s="74"/>
      <c r="F150" s="59" t="str">
        <f t="shared" si="19"/>
        <v/>
      </c>
      <c r="G150" s="75"/>
      <c r="H150" s="59" t="str">
        <f t="shared" si="20"/>
        <v/>
      </c>
      <c r="I150" s="64"/>
      <c r="J150" s="64"/>
      <c r="K150" s="64"/>
      <c r="M150" t="str">
        <f t="shared" si="21"/>
        <v/>
      </c>
      <c r="N150" t="str">
        <f t="shared" si="22"/>
        <v/>
      </c>
    </row>
    <row r="151" spans="1:14">
      <c r="A151" s="59" t="str">
        <f>IF(C151="","",VLOOKUP('Opći dio'!$C$3,'Opći dio'!$L$6:$U$135,10,0))</f>
        <v/>
      </c>
      <c r="B151" s="59" t="str">
        <f>IF(C151="","",VLOOKUP('Opći dio'!$C$3,'Opći dio'!$L$6:$U$135,9,0))</f>
        <v/>
      </c>
      <c r="C151" s="74"/>
      <c r="D151" s="59" t="str">
        <f t="shared" si="18"/>
        <v/>
      </c>
      <c r="E151" s="74"/>
      <c r="F151" s="59" t="str">
        <f t="shared" si="19"/>
        <v/>
      </c>
      <c r="G151" s="75"/>
      <c r="H151" s="59" t="str">
        <f t="shared" si="20"/>
        <v/>
      </c>
      <c r="I151" s="64"/>
      <c r="J151" s="64"/>
      <c r="K151" s="64"/>
      <c r="M151" t="str">
        <f t="shared" si="21"/>
        <v/>
      </c>
      <c r="N151" t="str">
        <f t="shared" si="22"/>
        <v/>
      </c>
    </row>
    <row r="152" spans="1:14">
      <c r="A152" s="59" t="str">
        <f>IF(C152="","",VLOOKUP('Opći dio'!$C$3,'Opći dio'!$L$6:$U$135,10,0))</f>
        <v/>
      </c>
      <c r="B152" s="59" t="str">
        <f>IF(C152="","",VLOOKUP('Opći dio'!$C$3,'Opći dio'!$L$6:$U$135,9,0))</f>
        <v/>
      </c>
      <c r="C152" s="74"/>
      <c r="D152" s="59" t="str">
        <f t="shared" si="18"/>
        <v/>
      </c>
      <c r="E152" s="74"/>
      <c r="F152" s="59" t="str">
        <f t="shared" si="19"/>
        <v/>
      </c>
      <c r="G152" s="75"/>
      <c r="H152" s="59" t="str">
        <f t="shared" si="20"/>
        <v/>
      </c>
      <c r="I152" s="64"/>
      <c r="J152" s="64"/>
      <c r="K152" s="64"/>
      <c r="M152" t="str">
        <f t="shared" si="21"/>
        <v/>
      </c>
      <c r="N152" t="str">
        <f t="shared" si="22"/>
        <v/>
      </c>
    </row>
    <row r="153" spans="1:14">
      <c r="A153" s="59" t="str">
        <f>IF(C153="","",VLOOKUP('Opći dio'!$C$3,'Opći dio'!$L$6:$U$135,10,0))</f>
        <v/>
      </c>
      <c r="B153" s="59" t="str">
        <f>IF(C153="","",VLOOKUP('Opći dio'!$C$3,'Opći dio'!$L$6:$U$135,9,0))</f>
        <v/>
      </c>
      <c r="C153" s="74"/>
      <c r="D153" s="59" t="str">
        <f t="shared" si="18"/>
        <v/>
      </c>
      <c r="E153" s="74"/>
      <c r="F153" s="59" t="str">
        <f t="shared" si="19"/>
        <v/>
      </c>
      <c r="G153" s="75"/>
      <c r="H153" s="59" t="str">
        <f t="shared" si="20"/>
        <v/>
      </c>
      <c r="I153" s="64"/>
      <c r="J153" s="64"/>
      <c r="K153" s="64"/>
      <c r="M153" t="str">
        <f t="shared" si="21"/>
        <v/>
      </c>
      <c r="N153" t="str">
        <f t="shared" si="22"/>
        <v/>
      </c>
    </row>
    <row r="154" spans="1:14">
      <c r="A154" s="59" t="str">
        <f>IF(C154="","",VLOOKUP('Opći dio'!$C$3,'Opći dio'!$L$6:$U$135,10,0))</f>
        <v/>
      </c>
      <c r="B154" s="59" t="str">
        <f>IF(C154="","",VLOOKUP('Opći dio'!$C$3,'Opći dio'!$L$6:$U$135,9,0))</f>
        <v/>
      </c>
      <c r="C154" s="74"/>
      <c r="D154" s="59" t="str">
        <f t="shared" si="18"/>
        <v/>
      </c>
      <c r="E154" s="74"/>
      <c r="F154" s="59" t="str">
        <f t="shared" si="19"/>
        <v/>
      </c>
      <c r="G154" s="75"/>
      <c r="H154" s="59" t="str">
        <f t="shared" si="20"/>
        <v/>
      </c>
      <c r="I154" s="64"/>
      <c r="J154" s="64"/>
      <c r="K154" s="64"/>
      <c r="M154" t="str">
        <f t="shared" si="21"/>
        <v/>
      </c>
      <c r="N154" t="str">
        <f t="shared" si="22"/>
        <v/>
      </c>
    </row>
    <row r="155" spans="1:14">
      <c r="A155" s="59" t="str">
        <f>IF(C155="","",VLOOKUP('Opći dio'!$C$3,'Opći dio'!$L$6:$U$135,10,0))</f>
        <v/>
      </c>
      <c r="B155" s="59" t="str">
        <f>IF(C155="","",VLOOKUP('Opći dio'!$C$3,'Opći dio'!$L$6:$U$135,9,0))</f>
        <v/>
      </c>
      <c r="C155" s="74"/>
      <c r="D155" s="59" t="str">
        <f t="shared" si="18"/>
        <v/>
      </c>
      <c r="E155" s="74"/>
      <c r="F155" s="59" t="str">
        <f t="shared" si="19"/>
        <v/>
      </c>
      <c r="G155" s="75"/>
      <c r="H155" s="59" t="str">
        <f t="shared" si="20"/>
        <v/>
      </c>
      <c r="I155" s="64"/>
      <c r="J155" s="64"/>
      <c r="K155" s="64"/>
      <c r="M155" t="str">
        <f t="shared" si="21"/>
        <v/>
      </c>
      <c r="N155" t="str">
        <f t="shared" si="22"/>
        <v/>
      </c>
    </row>
    <row r="156" spans="1:14">
      <c r="A156" s="59" t="str">
        <f>IF(C156="","",VLOOKUP('Opći dio'!$C$3,'Opći dio'!$L$6:$U$135,10,0))</f>
        <v/>
      </c>
      <c r="B156" s="59" t="str">
        <f>IF(C156="","",VLOOKUP('Opći dio'!$C$3,'Opći dio'!$L$6:$U$135,9,0))</f>
        <v/>
      </c>
      <c r="C156" s="74"/>
      <c r="D156" s="59" t="str">
        <f t="shared" si="18"/>
        <v/>
      </c>
      <c r="E156" s="74"/>
      <c r="F156" s="59" t="str">
        <f t="shared" si="19"/>
        <v/>
      </c>
      <c r="G156" s="75"/>
      <c r="H156" s="59" t="str">
        <f t="shared" si="20"/>
        <v/>
      </c>
      <c r="I156" s="64"/>
      <c r="J156" s="64"/>
      <c r="K156" s="64"/>
      <c r="M156" t="str">
        <f t="shared" si="21"/>
        <v/>
      </c>
      <c r="N156" t="str">
        <f t="shared" si="22"/>
        <v/>
      </c>
    </row>
    <row r="157" spans="1:14">
      <c r="A157" s="59" t="str">
        <f>IF(C157="","",VLOOKUP('Opći dio'!$C$3,'Opći dio'!$L$6:$U$135,10,0))</f>
        <v/>
      </c>
      <c r="B157" s="59" t="str">
        <f>IF(C157="","",VLOOKUP('Opći dio'!$C$3,'Opći dio'!$L$6:$U$135,9,0))</f>
        <v/>
      </c>
      <c r="C157" s="74"/>
      <c r="D157" s="59" t="str">
        <f t="shared" si="18"/>
        <v/>
      </c>
      <c r="E157" s="74"/>
      <c r="F157" s="59" t="str">
        <f t="shared" si="19"/>
        <v/>
      </c>
      <c r="G157" s="75"/>
      <c r="H157" s="59" t="str">
        <f t="shared" si="20"/>
        <v/>
      </c>
      <c r="I157" s="64"/>
      <c r="J157" s="64"/>
      <c r="K157" s="64"/>
      <c r="M157" t="str">
        <f t="shared" si="21"/>
        <v/>
      </c>
      <c r="N157" t="str">
        <f t="shared" si="22"/>
        <v/>
      </c>
    </row>
    <row r="158" spans="1:14">
      <c r="A158" s="59" t="str">
        <f>IF(C158="","",VLOOKUP('Opći dio'!$C$3,'Opći dio'!$L$6:$U$135,10,0))</f>
        <v/>
      </c>
      <c r="B158" s="59" t="str">
        <f>IF(C158="","",VLOOKUP('Opći dio'!$C$3,'Opći dio'!$L$6:$U$135,9,0))</f>
        <v/>
      </c>
      <c r="C158" s="74"/>
      <c r="D158" s="59" t="str">
        <f t="shared" si="18"/>
        <v/>
      </c>
      <c r="E158" s="74"/>
      <c r="F158" s="59" t="str">
        <f t="shared" si="19"/>
        <v/>
      </c>
      <c r="G158" s="75"/>
      <c r="H158" s="59" t="str">
        <f t="shared" si="20"/>
        <v/>
      </c>
      <c r="I158" s="64"/>
      <c r="J158" s="64"/>
      <c r="K158" s="64"/>
      <c r="M158" t="str">
        <f t="shared" si="21"/>
        <v/>
      </c>
      <c r="N158" t="str">
        <f t="shared" si="22"/>
        <v/>
      </c>
    </row>
    <row r="159" spans="1:14">
      <c r="A159" s="59" t="str">
        <f>IF(C159="","",VLOOKUP('Opći dio'!$C$3,'Opći dio'!$L$6:$U$135,10,0))</f>
        <v/>
      </c>
      <c r="B159" s="59" t="str">
        <f>IF(C159="","",VLOOKUP('Opći dio'!$C$3,'Opći dio'!$L$6:$U$135,9,0))</f>
        <v/>
      </c>
      <c r="C159" s="74"/>
      <c r="D159" s="59" t="str">
        <f t="shared" si="18"/>
        <v/>
      </c>
      <c r="E159" s="74"/>
      <c r="F159" s="59" t="str">
        <f t="shared" si="19"/>
        <v/>
      </c>
      <c r="G159" s="75"/>
      <c r="H159" s="59" t="str">
        <f t="shared" si="20"/>
        <v/>
      </c>
      <c r="I159" s="64"/>
      <c r="J159" s="64"/>
      <c r="K159" s="64"/>
      <c r="M159" t="str">
        <f t="shared" si="21"/>
        <v/>
      </c>
      <c r="N159" t="str">
        <f t="shared" si="22"/>
        <v/>
      </c>
    </row>
    <row r="160" spans="1:14">
      <c r="A160" s="59" t="str">
        <f>IF(C160="","",VLOOKUP('Opći dio'!$C$3,'Opći dio'!$L$6:$U$135,10,0))</f>
        <v/>
      </c>
      <c r="B160" s="59" t="str">
        <f>IF(C160="","",VLOOKUP('Opći dio'!$C$3,'Opći dio'!$L$6:$U$135,9,0))</f>
        <v/>
      </c>
      <c r="C160" s="74"/>
      <c r="D160" s="59" t="str">
        <f t="shared" si="18"/>
        <v/>
      </c>
      <c r="E160" s="74"/>
      <c r="F160" s="59" t="str">
        <f t="shared" si="19"/>
        <v/>
      </c>
      <c r="G160" s="75"/>
      <c r="H160" s="59" t="str">
        <f t="shared" si="20"/>
        <v/>
      </c>
      <c r="I160" s="64"/>
      <c r="J160" s="64"/>
      <c r="K160" s="64"/>
      <c r="M160" t="str">
        <f t="shared" si="21"/>
        <v/>
      </c>
      <c r="N160" t="str">
        <f t="shared" si="22"/>
        <v/>
      </c>
    </row>
    <row r="161" spans="1:14">
      <c r="A161" s="59" t="str">
        <f>IF(C161="","",VLOOKUP('Opći dio'!$C$3,'Opći dio'!$L$6:$U$135,10,0))</f>
        <v/>
      </c>
      <c r="B161" s="59" t="str">
        <f>IF(C161="","",VLOOKUP('Opći dio'!$C$3,'Opći dio'!$L$6:$U$135,9,0))</f>
        <v/>
      </c>
      <c r="C161" s="74"/>
      <c r="D161" s="59" t="str">
        <f t="shared" si="18"/>
        <v/>
      </c>
      <c r="E161" s="74"/>
      <c r="F161" s="59" t="str">
        <f t="shared" si="19"/>
        <v/>
      </c>
      <c r="G161" s="75"/>
      <c r="H161" s="59" t="str">
        <f t="shared" si="20"/>
        <v/>
      </c>
      <c r="I161" s="64"/>
      <c r="J161" s="64"/>
      <c r="K161" s="64"/>
      <c r="M161" t="str">
        <f t="shared" si="21"/>
        <v/>
      </c>
      <c r="N161" t="str">
        <f t="shared" si="22"/>
        <v/>
      </c>
    </row>
    <row r="162" spans="1:14">
      <c r="A162" s="59" t="str">
        <f>IF(C162="","",VLOOKUP('Opći dio'!$C$3,'Opći dio'!$L$6:$U$135,10,0))</f>
        <v/>
      </c>
      <c r="B162" s="59" t="str">
        <f>IF(C162="","",VLOOKUP('Opći dio'!$C$3,'Opći dio'!$L$6:$U$135,9,0))</f>
        <v/>
      </c>
      <c r="C162" s="74"/>
      <c r="D162" s="59" t="str">
        <f t="shared" si="18"/>
        <v/>
      </c>
      <c r="E162" s="74"/>
      <c r="F162" s="59" t="str">
        <f t="shared" si="19"/>
        <v/>
      </c>
      <c r="G162" s="75"/>
      <c r="H162" s="59" t="str">
        <f t="shared" si="20"/>
        <v/>
      </c>
      <c r="I162" s="64"/>
      <c r="J162" s="64"/>
      <c r="K162" s="64"/>
      <c r="M162" t="str">
        <f t="shared" si="21"/>
        <v/>
      </c>
      <c r="N162" t="str">
        <f t="shared" si="22"/>
        <v/>
      </c>
    </row>
    <row r="163" spans="1:14">
      <c r="A163" s="59" t="str">
        <f>IF(C163="","",VLOOKUP('Opći dio'!$C$3,'Opći dio'!$L$6:$U$135,10,0))</f>
        <v/>
      </c>
      <c r="B163" s="59" t="str">
        <f>IF(C163="","",VLOOKUP('Opći dio'!$C$3,'Opći dio'!$L$6:$U$135,9,0))</f>
        <v/>
      </c>
      <c r="C163" s="74"/>
      <c r="D163" s="59" t="str">
        <f t="shared" si="18"/>
        <v/>
      </c>
      <c r="E163" s="74"/>
      <c r="F163" s="59" t="str">
        <f t="shared" si="19"/>
        <v/>
      </c>
      <c r="G163" s="75"/>
      <c r="H163" s="59" t="str">
        <f t="shared" si="20"/>
        <v/>
      </c>
      <c r="I163" s="64"/>
      <c r="J163" s="64"/>
      <c r="K163" s="64"/>
      <c r="M163" t="str">
        <f t="shared" si="21"/>
        <v/>
      </c>
      <c r="N163" t="str">
        <f t="shared" si="22"/>
        <v/>
      </c>
    </row>
    <row r="164" spans="1:14">
      <c r="A164" s="59" t="str">
        <f>IF(C164="","",VLOOKUP('Opći dio'!$C$3,'Opći dio'!$L$6:$U$135,10,0))</f>
        <v/>
      </c>
      <c r="B164" s="59" t="str">
        <f>IF(C164="","",VLOOKUP('Opći dio'!$C$3,'Opći dio'!$L$6:$U$135,9,0))</f>
        <v/>
      </c>
      <c r="C164" s="74"/>
      <c r="D164" s="59" t="str">
        <f t="shared" si="18"/>
        <v/>
      </c>
      <c r="E164" s="74"/>
      <c r="F164" s="59" t="str">
        <f t="shared" si="19"/>
        <v/>
      </c>
      <c r="G164" s="75"/>
      <c r="H164" s="59" t="str">
        <f t="shared" si="20"/>
        <v/>
      </c>
      <c r="I164" s="64"/>
      <c r="J164" s="64"/>
      <c r="K164" s="64"/>
      <c r="M164" t="str">
        <f t="shared" si="21"/>
        <v/>
      </c>
      <c r="N164" t="str">
        <f t="shared" si="22"/>
        <v/>
      </c>
    </row>
    <row r="165" spans="1:14">
      <c r="A165" s="59" t="str">
        <f>IF(C165="","",VLOOKUP('Opći dio'!$C$3,'Opći dio'!$L$6:$U$135,10,0))</f>
        <v/>
      </c>
      <c r="B165" s="59" t="str">
        <f>IF(C165="","",VLOOKUP('Opći dio'!$C$3,'Opći dio'!$L$6:$U$135,9,0))</f>
        <v/>
      </c>
      <c r="C165" s="74"/>
      <c r="D165" s="59" t="str">
        <f t="shared" si="18"/>
        <v/>
      </c>
      <c r="E165" s="74"/>
      <c r="F165" s="59" t="str">
        <f t="shared" si="19"/>
        <v/>
      </c>
      <c r="G165" s="75"/>
      <c r="H165" s="59" t="str">
        <f t="shared" si="20"/>
        <v/>
      </c>
      <c r="I165" s="64"/>
      <c r="J165" s="64"/>
      <c r="K165" s="64"/>
      <c r="M165" t="str">
        <f t="shared" si="21"/>
        <v/>
      </c>
      <c r="N165" t="str">
        <f t="shared" si="22"/>
        <v/>
      </c>
    </row>
    <row r="166" spans="1:14">
      <c r="A166" s="59" t="str">
        <f>IF(C166="","",VLOOKUP('Opći dio'!$C$3,'Opći dio'!$L$6:$U$135,10,0))</f>
        <v/>
      </c>
      <c r="B166" s="59" t="str">
        <f>IF(C166="","",VLOOKUP('Opći dio'!$C$3,'Opći dio'!$L$6:$U$135,9,0))</f>
        <v/>
      </c>
      <c r="C166" s="74"/>
      <c r="D166" s="59" t="str">
        <f t="shared" si="18"/>
        <v/>
      </c>
      <c r="E166" s="74"/>
      <c r="F166" s="59" t="str">
        <f t="shared" si="19"/>
        <v/>
      </c>
      <c r="G166" s="75"/>
      <c r="H166" s="59" t="str">
        <f t="shared" si="20"/>
        <v/>
      </c>
      <c r="I166" s="64"/>
      <c r="J166" s="64"/>
      <c r="K166" s="64"/>
      <c r="M166" t="str">
        <f t="shared" si="21"/>
        <v/>
      </c>
      <c r="N166" t="str">
        <f t="shared" si="22"/>
        <v/>
      </c>
    </row>
    <row r="167" spans="1:14">
      <c r="A167" s="59" t="str">
        <f>IF(C167="","",VLOOKUP('Opći dio'!$C$3,'Opći dio'!$L$6:$U$135,10,0))</f>
        <v/>
      </c>
      <c r="B167" s="59" t="str">
        <f>IF(C167="","",VLOOKUP('Opći dio'!$C$3,'Opći dio'!$L$6:$U$135,9,0))</f>
        <v/>
      </c>
      <c r="C167" s="74"/>
      <c r="D167" s="59" t="str">
        <f t="shared" si="18"/>
        <v/>
      </c>
      <c r="E167" s="74"/>
      <c r="F167" s="59" t="str">
        <f t="shared" si="19"/>
        <v/>
      </c>
      <c r="G167" s="75"/>
      <c r="H167" s="59" t="str">
        <f t="shared" si="20"/>
        <v/>
      </c>
      <c r="I167" s="64"/>
      <c r="J167" s="64"/>
      <c r="K167" s="64"/>
      <c r="M167" t="str">
        <f t="shared" si="21"/>
        <v/>
      </c>
      <c r="N167" t="str">
        <f t="shared" si="22"/>
        <v/>
      </c>
    </row>
    <row r="168" spans="1:14">
      <c r="A168" s="59" t="str">
        <f>IF(C168="","",VLOOKUP('Opći dio'!$C$3,'Opći dio'!$L$6:$U$135,10,0))</f>
        <v/>
      </c>
      <c r="B168" s="59" t="str">
        <f>IF(C168="","",VLOOKUP('Opći dio'!$C$3,'Opći dio'!$L$6:$U$135,9,0))</f>
        <v/>
      </c>
      <c r="C168" s="74"/>
      <c r="D168" s="59" t="str">
        <f t="shared" si="18"/>
        <v/>
      </c>
      <c r="E168" s="74"/>
      <c r="F168" s="59" t="str">
        <f t="shared" si="19"/>
        <v/>
      </c>
      <c r="G168" s="75"/>
      <c r="H168" s="59" t="str">
        <f t="shared" si="20"/>
        <v/>
      </c>
      <c r="I168" s="64"/>
      <c r="J168" s="64"/>
      <c r="K168" s="64"/>
      <c r="M168" t="str">
        <f t="shared" si="21"/>
        <v/>
      </c>
      <c r="N168" t="str">
        <f t="shared" si="22"/>
        <v/>
      </c>
    </row>
    <row r="169" spans="1:14">
      <c r="A169" s="59" t="str">
        <f>IF(C169="","",VLOOKUP('Opći dio'!$C$3,'Opći dio'!$L$6:$U$135,10,0))</f>
        <v/>
      </c>
      <c r="B169" s="59" t="str">
        <f>IF(C169="","",VLOOKUP('Opći dio'!$C$3,'Opći dio'!$L$6:$U$135,9,0))</f>
        <v/>
      </c>
      <c r="C169" s="74"/>
      <c r="D169" s="59" t="str">
        <f t="shared" si="18"/>
        <v/>
      </c>
      <c r="E169" s="74"/>
      <c r="F169" s="59" t="str">
        <f t="shared" si="19"/>
        <v/>
      </c>
      <c r="G169" s="75"/>
      <c r="H169" s="59" t="str">
        <f t="shared" si="20"/>
        <v/>
      </c>
      <c r="I169" s="64"/>
      <c r="J169" s="64"/>
      <c r="K169" s="64"/>
      <c r="M169" t="str">
        <f t="shared" si="21"/>
        <v/>
      </c>
      <c r="N169" t="str">
        <f t="shared" si="22"/>
        <v/>
      </c>
    </row>
    <row r="170" spans="1:14">
      <c r="A170" s="59" t="str">
        <f>IF(C170="","",VLOOKUP('Opći dio'!$C$3,'Opći dio'!$L$6:$U$135,10,0))</f>
        <v/>
      </c>
      <c r="B170" s="59" t="str">
        <f>IF(C170="","",VLOOKUP('Opći dio'!$C$3,'Opći dio'!$L$6:$U$135,9,0))</f>
        <v/>
      </c>
      <c r="C170" s="74"/>
      <c r="D170" s="59" t="str">
        <f t="shared" si="18"/>
        <v/>
      </c>
      <c r="E170" s="74"/>
      <c r="F170" s="59" t="str">
        <f t="shared" si="19"/>
        <v/>
      </c>
      <c r="G170" s="75"/>
      <c r="H170" s="59" t="str">
        <f t="shared" si="20"/>
        <v/>
      </c>
      <c r="I170" s="64"/>
      <c r="J170" s="64"/>
      <c r="K170" s="64"/>
      <c r="M170" t="str">
        <f t="shared" si="21"/>
        <v/>
      </c>
      <c r="N170" t="str">
        <f t="shared" si="22"/>
        <v/>
      </c>
    </row>
    <row r="171" spans="1:14">
      <c r="A171" s="59" t="str">
        <f>IF(C171="","",VLOOKUP('Opći dio'!$C$3,'Opći dio'!$L$6:$U$135,10,0))</f>
        <v/>
      </c>
      <c r="B171" s="59" t="str">
        <f>IF(C171="","",VLOOKUP('Opći dio'!$C$3,'Opći dio'!$L$6:$U$135,9,0))</f>
        <v/>
      </c>
      <c r="C171" s="74"/>
      <c r="D171" s="59" t="str">
        <f t="shared" si="18"/>
        <v/>
      </c>
      <c r="E171" s="74"/>
      <c r="F171" s="59" t="str">
        <f t="shared" si="19"/>
        <v/>
      </c>
      <c r="G171" s="75"/>
      <c r="H171" s="59" t="str">
        <f t="shared" si="20"/>
        <v/>
      </c>
      <c r="I171" s="64"/>
      <c r="J171" s="64"/>
      <c r="K171" s="64"/>
      <c r="M171" t="str">
        <f t="shared" si="21"/>
        <v/>
      </c>
      <c r="N171" t="str">
        <f t="shared" si="22"/>
        <v/>
      </c>
    </row>
    <row r="172" spans="1:14">
      <c r="A172" s="59" t="str">
        <f>IF(C172="","",VLOOKUP('Opći dio'!$C$3,'Opći dio'!$L$6:$U$135,10,0))</f>
        <v/>
      </c>
      <c r="B172" s="59" t="str">
        <f>IF(C172="","",VLOOKUP('Opći dio'!$C$3,'Opći dio'!$L$6:$U$135,9,0))</f>
        <v/>
      </c>
      <c r="C172" s="74"/>
      <c r="D172" s="59" t="str">
        <f t="shared" si="18"/>
        <v/>
      </c>
      <c r="E172" s="74"/>
      <c r="F172" s="59" t="str">
        <f t="shared" si="19"/>
        <v/>
      </c>
      <c r="G172" s="75"/>
      <c r="H172" s="59" t="str">
        <f t="shared" si="20"/>
        <v/>
      </c>
      <c r="I172" s="64"/>
      <c r="J172" s="64"/>
      <c r="K172" s="64"/>
      <c r="M172" t="str">
        <f t="shared" si="21"/>
        <v/>
      </c>
      <c r="N172" t="str">
        <f t="shared" si="22"/>
        <v/>
      </c>
    </row>
    <row r="173" spans="1:14">
      <c r="A173" s="59" t="str">
        <f>IF(C173="","",VLOOKUP('Opći dio'!$C$3,'Opći dio'!$L$6:$U$135,10,0))</f>
        <v/>
      </c>
      <c r="B173" s="59" t="str">
        <f>IF(C173="","",VLOOKUP('Opći dio'!$C$3,'Opći dio'!$L$6:$U$135,9,0))</f>
        <v/>
      </c>
      <c r="C173" s="74"/>
      <c r="D173" s="59" t="str">
        <f t="shared" si="18"/>
        <v/>
      </c>
      <c r="E173" s="74"/>
      <c r="F173" s="59" t="str">
        <f t="shared" si="19"/>
        <v/>
      </c>
      <c r="G173" s="75"/>
      <c r="H173" s="59" t="str">
        <f t="shared" si="20"/>
        <v/>
      </c>
      <c r="I173" s="64"/>
      <c r="J173" s="64"/>
      <c r="K173" s="64"/>
      <c r="M173" t="str">
        <f t="shared" si="21"/>
        <v/>
      </c>
      <c r="N173" t="str">
        <f t="shared" si="22"/>
        <v/>
      </c>
    </row>
    <row r="174" spans="1:14">
      <c r="A174" s="59" t="str">
        <f>IF(C174="","",VLOOKUP('Opći dio'!$C$3,'Opći dio'!$L$6:$U$135,10,0))</f>
        <v/>
      </c>
      <c r="B174" s="59" t="str">
        <f>IF(C174="","",VLOOKUP('Opći dio'!$C$3,'Opći dio'!$L$6:$U$135,9,0))</f>
        <v/>
      </c>
      <c r="C174" s="74"/>
      <c r="D174" s="59" t="str">
        <f t="shared" si="18"/>
        <v/>
      </c>
      <c r="E174" s="74"/>
      <c r="F174" s="59" t="str">
        <f t="shared" si="19"/>
        <v/>
      </c>
      <c r="G174" s="75"/>
      <c r="H174" s="59" t="str">
        <f t="shared" si="20"/>
        <v/>
      </c>
      <c r="I174" s="64"/>
      <c r="J174" s="64"/>
      <c r="K174" s="64"/>
      <c r="M174" t="str">
        <f t="shared" si="21"/>
        <v/>
      </c>
      <c r="N174" t="str">
        <f t="shared" si="22"/>
        <v/>
      </c>
    </row>
    <row r="175" spans="1:14">
      <c r="A175" s="59" t="str">
        <f>IF(C175="","",VLOOKUP('Opći dio'!$C$3,'Opći dio'!$L$6:$U$135,10,0))</f>
        <v/>
      </c>
      <c r="B175" s="59" t="str">
        <f>IF(C175="","",VLOOKUP('Opći dio'!$C$3,'Opći dio'!$L$6:$U$135,9,0))</f>
        <v/>
      </c>
      <c r="C175" s="74"/>
      <c r="D175" s="59" t="str">
        <f t="shared" si="18"/>
        <v/>
      </c>
      <c r="E175" s="74"/>
      <c r="F175" s="59" t="str">
        <f t="shared" si="19"/>
        <v/>
      </c>
      <c r="G175" s="75"/>
      <c r="H175" s="59" t="str">
        <f t="shared" si="20"/>
        <v/>
      </c>
      <c r="I175" s="64"/>
      <c r="J175" s="64"/>
      <c r="K175" s="64"/>
      <c r="M175" t="str">
        <f t="shared" si="21"/>
        <v/>
      </c>
      <c r="N175" t="str">
        <f t="shared" si="22"/>
        <v/>
      </c>
    </row>
    <row r="176" spans="1:14">
      <c r="A176" s="59" t="str">
        <f>IF(C176="","",VLOOKUP('Opći dio'!$C$3,'Opći dio'!$L$6:$U$135,10,0))</f>
        <v/>
      </c>
      <c r="B176" s="59" t="str">
        <f>IF(C176="","",VLOOKUP('Opći dio'!$C$3,'Opći dio'!$L$6:$U$135,9,0))</f>
        <v/>
      </c>
      <c r="C176" s="74"/>
      <c r="D176" s="59" t="str">
        <f t="shared" si="18"/>
        <v/>
      </c>
      <c r="E176" s="74"/>
      <c r="F176" s="59" t="str">
        <f t="shared" si="19"/>
        <v/>
      </c>
      <c r="G176" s="75"/>
      <c r="H176" s="59" t="str">
        <f t="shared" si="20"/>
        <v/>
      </c>
      <c r="I176" s="64"/>
      <c r="J176" s="64"/>
      <c r="K176" s="64"/>
      <c r="M176" t="str">
        <f t="shared" si="21"/>
        <v/>
      </c>
      <c r="N176" t="str">
        <f t="shared" si="22"/>
        <v/>
      </c>
    </row>
    <row r="177" spans="1:14">
      <c r="A177" s="59" t="str">
        <f>IF(C177="","",VLOOKUP('Opći dio'!$C$3,'Opći dio'!$L$6:$U$135,10,0))</f>
        <v/>
      </c>
      <c r="B177" s="59" t="str">
        <f>IF(C177="","",VLOOKUP('Opći dio'!$C$3,'Opći dio'!$L$6:$U$135,9,0))</f>
        <v/>
      </c>
      <c r="C177" s="74"/>
      <c r="D177" s="59" t="str">
        <f t="shared" si="18"/>
        <v/>
      </c>
      <c r="E177" s="74"/>
      <c r="F177" s="59" t="str">
        <f t="shared" si="19"/>
        <v/>
      </c>
      <c r="G177" s="75"/>
      <c r="H177" s="59" t="str">
        <f t="shared" si="20"/>
        <v/>
      </c>
      <c r="I177" s="64"/>
      <c r="J177" s="64"/>
      <c r="K177" s="64"/>
      <c r="M177" t="str">
        <f t="shared" si="21"/>
        <v/>
      </c>
      <c r="N177" t="str">
        <f t="shared" si="22"/>
        <v/>
      </c>
    </row>
    <row r="178" spans="1:14">
      <c r="A178" s="59" t="str">
        <f>IF(C178="","",VLOOKUP('Opći dio'!$C$3,'Opći dio'!$L$6:$U$135,10,0))</f>
        <v/>
      </c>
      <c r="B178" s="59" t="str">
        <f>IF(C178="","",VLOOKUP('Opći dio'!$C$3,'Opći dio'!$L$6:$U$135,9,0))</f>
        <v/>
      </c>
      <c r="C178" s="74"/>
      <c r="D178" s="59" t="str">
        <f t="shared" si="18"/>
        <v/>
      </c>
      <c r="E178" s="74"/>
      <c r="F178" s="59" t="str">
        <f t="shared" si="19"/>
        <v/>
      </c>
      <c r="G178" s="75"/>
      <c r="H178" s="59" t="str">
        <f t="shared" si="20"/>
        <v/>
      </c>
      <c r="I178" s="64"/>
      <c r="J178" s="64"/>
      <c r="K178" s="64"/>
      <c r="M178" t="str">
        <f t="shared" si="21"/>
        <v/>
      </c>
      <c r="N178" t="str">
        <f t="shared" si="22"/>
        <v/>
      </c>
    </row>
    <row r="179" spans="1:14">
      <c r="A179" s="59" t="str">
        <f>IF(C179="","",VLOOKUP('Opći dio'!$C$3,'Opći dio'!$L$6:$U$135,10,0))</f>
        <v/>
      </c>
      <c r="B179" s="59" t="str">
        <f>IF(C179="","",VLOOKUP('Opći dio'!$C$3,'Opći dio'!$L$6:$U$135,9,0))</f>
        <v/>
      </c>
      <c r="C179" s="74"/>
      <c r="D179" s="59" t="str">
        <f t="shared" si="18"/>
        <v/>
      </c>
      <c r="E179" s="74"/>
      <c r="F179" s="59" t="str">
        <f t="shared" si="19"/>
        <v/>
      </c>
      <c r="G179" s="75"/>
      <c r="H179" s="59" t="str">
        <f t="shared" si="20"/>
        <v/>
      </c>
      <c r="I179" s="64"/>
      <c r="J179" s="64"/>
      <c r="K179" s="64"/>
      <c r="M179" t="str">
        <f t="shared" si="21"/>
        <v/>
      </c>
      <c r="N179" t="str">
        <f t="shared" si="22"/>
        <v/>
      </c>
    </row>
    <row r="180" spans="1:14">
      <c r="A180" s="59" t="str">
        <f>IF(C180="","",VLOOKUP('Opći dio'!$C$3,'Opći dio'!$L$6:$U$135,10,0))</f>
        <v/>
      </c>
      <c r="B180" s="59" t="str">
        <f>IF(C180="","",VLOOKUP('Opći dio'!$C$3,'Opći dio'!$L$6:$U$135,9,0))</f>
        <v/>
      </c>
      <c r="C180" s="74"/>
      <c r="D180" s="59" t="str">
        <f t="shared" si="18"/>
        <v/>
      </c>
      <c r="E180" s="74"/>
      <c r="F180" s="59" t="str">
        <f t="shared" si="19"/>
        <v/>
      </c>
      <c r="G180" s="75"/>
      <c r="H180" s="59" t="str">
        <f t="shared" si="20"/>
        <v/>
      </c>
      <c r="I180" s="64"/>
      <c r="J180" s="64"/>
      <c r="K180" s="64"/>
      <c r="M180" t="str">
        <f t="shared" si="21"/>
        <v/>
      </c>
      <c r="N180" t="str">
        <f t="shared" si="22"/>
        <v/>
      </c>
    </row>
    <row r="181" spans="1:14">
      <c r="A181" s="59" t="str">
        <f>IF(C181="","",VLOOKUP('Opći dio'!$C$3,'Opći dio'!$L$6:$U$135,10,0))</f>
        <v/>
      </c>
      <c r="B181" s="59" t="str">
        <f>IF(C181="","",VLOOKUP('Opći dio'!$C$3,'Opći dio'!$L$6:$U$135,9,0))</f>
        <v/>
      </c>
      <c r="C181" s="74"/>
      <c r="D181" s="59" t="str">
        <f t="shared" si="18"/>
        <v/>
      </c>
      <c r="E181" s="74"/>
      <c r="F181" s="59" t="str">
        <f t="shared" si="19"/>
        <v/>
      </c>
      <c r="G181" s="75"/>
      <c r="H181" s="59" t="str">
        <f t="shared" si="20"/>
        <v/>
      </c>
      <c r="I181" s="64"/>
      <c r="J181" s="64"/>
      <c r="K181" s="64"/>
      <c r="M181" t="str">
        <f t="shared" si="21"/>
        <v/>
      </c>
      <c r="N181" t="str">
        <f t="shared" si="22"/>
        <v/>
      </c>
    </row>
    <row r="182" spans="1:14">
      <c r="A182" s="59" t="str">
        <f>IF(C182="","",VLOOKUP('Opći dio'!$C$3,'Opći dio'!$L$6:$U$135,10,0))</f>
        <v/>
      </c>
      <c r="B182" s="59" t="str">
        <f>IF(C182="","",VLOOKUP('Opći dio'!$C$3,'Opći dio'!$L$6:$U$135,9,0))</f>
        <v/>
      </c>
      <c r="C182" s="74"/>
      <c r="D182" s="59" t="str">
        <f t="shared" si="18"/>
        <v/>
      </c>
      <c r="E182" s="74"/>
      <c r="F182" s="59" t="str">
        <f t="shared" si="19"/>
        <v/>
      </c>
      <c r="G182" s="75"/>
      <c r="H182" s="59" t="str">
        <f t="shared" si="20"/>
        <v/>
      </c>
      <c r="I182" s="64"/>
      <c r="J182" s="64"/>
      <c r="K182" s="64"/>
      <c r="M182" t="str">
        <f t="shared" si="21"/>
        <v/>
      </c>
      <c r="N182" t="str">
        <f t="shared" si="22"/>
        <v/>
      </c>
    </row>
    <row r="183" spans="1:14">
      <c r="A183" s="59" t="str">
        <f>IF(C183="","",VLOOKUP('Opći dio'!$C$3,'Opći dio'!$L$6:$U$135,10,0))</f>
        <v/>
      </c>
      <c r="B183" s="59" t="str">
        <f>IF(C183="","",VLOOKUP('Opći dio'!$C$3,'Opći dio'!$L$6:$U$135,9,0))</f>
        <v/>
      </c>
      <c r="C183" s="74"/>
      <c r="D183" s="59" t="str">
        <f t="shared" si="18"/>
        <v/>
      </c>
      <c r="E183" s="74"/>
      <c r="F183" s="59" t="str">
        <f t="shared" si="19"/>
        <v/>
      </c>
      <c r="G183" s="75"/>
      <c r="H183" s="59" t="str">
        <f t="shared" si="20"/>
        <v/>
      </c>
      <c r="I183" s="64"/>
      <c r="J183" s="64"/>
      <c r="K183" s="64"/>
      <c r="M183" t="str">
        <f t="shared" si="21"/>
        <v/>
      </c>
      <c r="N183" t="str">
        <f t="shared" si="22"/>
        <v/>
      </c>
    </row>
    <row r="184" spans="1:14">
      <c r="A184" s="59" t="str">
        <f>IF(C184="","",VLOOKUP('Opći dio'!$C$3,'Opći dio'!$L$6:$U$135,10,0))</f>
        <v/>
      </c>
      <c r="B184" s="59" t="str">
        <f>IF(C184="","",VLOOKUP('Opći dio'!$C$3,'Opći dio'!$L$6:$U$135,9,0))</f>
        <v/>
      </c>
      <c r="C184" s="74"/>
      <c r="D184" s="59" t="str">
        <f t="shared" si="18"/>
        <v/>
      </c>
      <c r="E184" s="74"/>
      <c r="F184" s="59" t="str">
        <f t="shared" si="19"/>
        <v/>
      </c>
      <c r="G184" s="75"/>
      <c r="H184" s="59" t="str">
        <f t="shared" si="20"/>
        <v/>
      </c>
      <c r="I184" s="64"/>
      <c r="J184" s="64"/>
      <c r="K184" s="64"/>
      <c r="M184" t="str">
        <f t="shared" si="21"/>
        <v/>
      </c>
      <c r="N184" t="str">
        <f t="shared" si="22"/>
        <v/>
      </c>
    </row>
    <row r="185" spans="1:14">
      <c r="A185" s="59" t="str">
        <f>IF(C185="","",VLOOKUP('Opći dio'!$C$3,'Opći dio'!$L$6:$U$135,10,0))</f>
        <v/>
      </c>
      <c r="B185" s="59" t="str">
        <f>IF(C185="","",VLOOKUP('Opći dio'!$C$3,'Opći dio'!$L$6:$U$135,9,0))</f>
        <v/>
      </c>
      <c r="C185" s="74"/>
      <c r="D185" s="59" t="str">
        <f t="shared" si="18"/>
        <v/>
      </c>
      <c r="E185" s="74"/>
      <c r="F185" s="59" t="str">
        <f t="shared" si="19"/>
        <v/>
      </c>
      <c r="G185" s="75"/>
      <c r="H185" s="59" t="str">
        <f t="shared" si="20"/>
        <v/>
      </c>
      <c r="I185" s="64"/>
      <c r="J185" s="64"/>
      <c r="K185" s="64"/>
      <c r="M185" t="str">
        <f t="shared" si="21"/>
        <v/>
      </c>
      <c r="N185" t="str">
        <f t="shared" si="22"/>
        <v/>
      </c>
    </row>
    <row r="186" spans="1:14">
      <c r="A186" s="59" t="str">
        <f>IF(C186="","",VLOOKUP('Opći dio'!$C$3,'Opći dio'!$L$6:$U$135,10,0))</f>
        <v/>
      </c>
      <c r="B186" s="59" t="str">
        <f>IF(C186="","",VLOOKUP('Opći dio'!$C$3,'Opći dio'!$L$6:$U$135,9,0))</f>
        <v/>
      </c>
      <c r="C186" s="74"/>
      <c r="D186" s="59" t="str">
        <f t="shared" si="18"/>
        <v/>
      </c>
      <c r="E186" s="74"/>
      <c r="F186" s="59" t="str">
        <f t="shared" si="19"/>
        <v/>
      </c>
      <c r="G186" s="75"/>
      <c r="H186" s="59" t="str">
        <f t="shared" si="20"/>
        <v/>
      </c>
      <c r="I186" s="64"/>
      <c r="J186" s="64"/>
      <c r="K186" s="64"/>
      <c r="M186" t="str">
        <f t="shared" si="21"/>
        <v/>
      </c>
      <c r="N186" t="str">
        <f t="shared" si="22"/>
        <v/>
      </c>
    </row>
    <row r="187" spans="1:14">
      <c r="A187" s="59" t="str">
        <f>IF(C187="","",VLOOKUP('Opći dio'!$C$3,'Opći dio'!$L$6:$U$135,10,0))</f>
        <v/>
      </c>
      <c r="B187" s="59" t="str">
        <f>IF(C187="","",VLOOKUP('Opći dio'!$C$3,'Opći dio'!$L$6:$U$135,9,0))</f>
        <v/>
      </c>
      <c r="C187" s="74"/>
      <c r="D187" s="59" t="str">
        <f t="shared" si="18"/>
        <v/>
      </c>
      <c r="E187" s="74"/>
      <c r="F187" s="59" t="str">
        <f t="shared" si="19"/>
        <v/>
      </c>
      <c r="G187" s="75"/>
      <c r="H187" s="59" t="str">
        <f t="shared" si="20"/>
        <v/>
      </c>
      <c r="I187" s="64"/>
      <c r="J187" s="64"/>
      <c r="K187" s="64"/>
      <c r="M187" t="str">
        <f t="shared" si="21"/>
        <v/>
      </c>
      <c r="N187" t="str">
        <f t="shared" si="22"/>
        <v/>
      </c>
    </row>
    <row r="188" spans="1:14">
      <c r="A188" s="59" t="str">
        <f>IF(C188="","",VLOOKUP('Opći dio'!$C$3,'Opći dio'!$L$6:$U$135,10,0))</f>
        <v/>
      </c>
      <c r="B188" s="59" t="str">
        <f>IF(C188="","",VLOOKUP('Opći dio'!$C$3,'Opći dio'!$L$6:$U$135,9,0))</f>
        <v/>
      </c>
      <c r="C188" s="74"/>
      <c r="D188" s="59" t="str">
        <f t="shared" si="18"/>
        <v/>
      </c>
      <c r="E188" s="74"/>
      <c r="F188" s="59" t="str">
        <f t="shared" si="19"/>
        <v/>
      </c>
      <c r="G188" s="75"/>
      <c r="H188" s="59" t="str">
        <f t="shared" si="20"/>
        <v/>
      </c>
      <c r="I188" s="64"/>
      <c r="J188" s="64"/>
      <c r="K188" s="64"/>
      <c r="M188" t="str">
        <f t="shared" si="21"/>
        <v/>
      </c>
      <c r="N188" t="str">
        <f t="shared" si="22"/>
        <v/>
      </c>
    </row>
    <row r="189" spans="1:14">
      <c r="A189" s="59" t="str">
        <f>IF(C189="","",VLOOKUP('Opći dio'!$C$3,'Opći dio'!$L$6:$U$135,10,0))</f>
        <v/>
      </c>
      <c r="B189" s="59" t="str">
        <f>IF(C189="","",VLOOKUP('Opći dio'!$C$3,'Opći dio'!$L$6:$U$135,9,0))</f>
        <v/>
      </c>
      <c r="C189" s="74"/>
      <c r="D189" s="59" t="str">
        <f t="shared" si="18"/>
        <v/>
      </c>
      <c r="E189" s="74"/>
      <c r="F189" s="59" t="str">
        <f t="shared" si="19"/>
        <v/>
      </c>
      <c r="G189" s="75"/>
      <c r="H189" s="59" t="str">
        <f t="shared" si="20"/>
        <v/>
      </c>
      <c r="I189" s="64"/>
      <c r="J189" s="64"/>
      <c r="K189" s="64"/>
      <c r="M189" t="str">
        <f t="shared" si="21"/>
        <v/>
      </c>
      <c r="N189" t="str">
        <f t="shared" si="22"/>
        <v/>
      </c>
    </row>
    <row r="190" spans="1:14">
      <c r="A190" s="59" t="str">
        <f>IF(C190="","",VLOOKUP('Opći dio'!$C$3,'Opći dio'!$L$6:$U$135,10,0))</f>
        <v/>
      </c>
      <c r="B190" s="59" t="str">
        <f>IF(C190="","",VLOOKUP('Opći dio'!$C$3,'Opći dio'!$L$6:$U$135,9,0))</f>
        <v/>
      </c>
      <c r="C190" s="74"/>
      <c r="D190" s="59" t="str">
        <f t="shared" si="18"/>
        <v/>
      </c>
      <c r="E190" s="74"/>
      <c r="F190" s="59" t="str">
        <f t="shared" si="19"/>
        <v/>
      </c>
      <c r="G190" s="75"/>
      <c r="H190" s="59" t="str">
        <f t="shared" si="20"/>
        <v/>
      </c>
      <c r="I190" s="64"/>
      <c r="J190" s="64"/>
      <c r="K190" s="64"/>
      <c r="M190" t="str">
        <f t="shared" si="21"/>
        <v/>
      </c>
      <c r="N190" t="str">
        <f t="shared" si="22"/>
        <v/>
      </c>
    </row>
    <row r="191" spans="1:14">
      <c r="A191" s="59" t="str">
        <f>IF(C191="","",VLOOKUP('Opći dio'!$C$3,'Opći dio'!$L$6:$U$135,10,0))</f>
        <v/>
      </c>
      <c r="B191" s="59" t="str">
        <f>IF(C191="","",VLOOKUP('Opći dio'!$C$3,'Opći dio'!$L$6:$U$135,9,0))</f>
        <v/>
      </c>
      <c r="C191" s="74"/>
      <c r="D191" s="59" t="str">
        <f t="shared" si="18"/>
        <v/>
      </c>
      <c r="E191" s="74"/>
      <c r="F191" s="59" t="str">
        <f t="shared" si="19"/>
        <v/>
      </c>
      <c r="G191" s="75"/>
      <c r="H191" s="59" t="str">
        <f t="shared" si="20"/>
        <v/>
      </c>
      <c r="I191" s="64"/>
      <c r="J191" s="64"/>
      <c r="K191" s="64"/>
      <c r="M191" t="str">
        <f t="shared" si="21"/>
        <v/>
      </c>
      <c r="N191" t="str">
        <f t="shared" si="22"/>
        <v/>
      </c>
    </row>
    <row r="192" spans="1:14">
      <c r="A192" s="59" t="str">
        <f>IF(C192="","",VLOOKUP('Opći dio'!$C$3,'Opći dio'!$L$6:$U$135,10,0))</f>
        <v/>
      </c>
      <c r="B192" s="59" t="str">
        <f>IF(C192="","",VLOOKUP('Opći dio'!$C$3,'Opći dio'!$L$6:$U$135,9,0))</f>
        <v/>
      </c>
      <c r="C192" s="74"/>
      <c r="D192" s="59" t="str">
        <f t="shared" si="18"/>
        <v/>
      </c>
      <c r="E192" s="74"/>
      <c r="F192" s="59" t="str">
        <f t="shared" si="19"/>
        <v/>
      </c>
      <c r="G192" s="75"/>
      <c r="H192" s="59" t="str">
        <f t="shared" si="20"/>
        <v/>
      </c>
      <c r="I192" s="64"/>
      <c r="J192" s="64"/>
      <c r="K192" s="64"/>
      <c r="M192" t="str">
        <f t="shared" si="21"/>
        <v/>
      </c>
      <c r="N192" t="str">
        <f t="shared" si="22"/>
        <v/>
      </c>
    </row>
    <row r="193" spans="1:14">
      <c r="A193" s="59" t="str">
        <f>IF(C193="","",VLOOKUP('Opći dio'!$C$3,'Opći dio'!$L$6:$U$135,10,0))</f>
        <v/>
      </c>
      <c r="B193" s="59" t="str">
        <f>IF(C193="","",VLOOKUP('Opći dio'!$C$3,'Opći dio'!$L$6:$U$135,9,0))</f>
        <v/>
      </c>
      <c r="C193" s="74"/>
      <c r="D193" s="59" t="str">
        <f t="shared" si="18"/>
        <v/>
      </c>
      <c r="E193" s="74"/>
      <c r="F193" s="59" t="str">
        <f t="shared" si="19"/>
        <v/>
      </c>
      <c r="G193" s="75"/>
      <c r="H193" s="59" t="str">
        <f t="shared" si="20"/>
        <v/>
      </c>
      <c r="I193" s="64"/>
      <c r="J193" s="64"/>
      <c r="K193" s="64"/>
      <c r="M193" t="str">
        <f t="shared" si="21"/>
        <v/>
      </c>
      <c r="N193" t="str">
        <f t="shared" si="22"/>
        <v/>
      </c>
    </row>
    <row r="194" spans="1:14">
      <c r="A194" s="59" t="str">
        <f>IF(C194="","",VLOOKUP('Opći dio'!$C$3,'Opći dio'!$L$6:$U$135,10,0))</f>
        <v/>
      </c>
      <c r="B194" s="59" t="str">
        <f>IF(C194="","",VLOOKUP('Opći dio'!$C$3,'Opći dio'!$L$6:$U$135,9,0))</f>
        <v/>
      </c>
      <c r="C194" s="74"/>
      <c r="D194" s="59" t="str">
        <f t="shared" si="18"/>
        <v/>
      </c>
      <c r="E194" s="74"/>
      <c r="F194" s="59" t="str">
        <f t="shared" si="19"/>
        <v/>
      </c>
      <c r="G194" s="75"/>
      <c r="H194" s="59" t="str">
        <f t="shared" si="20"/>
        <v/>
      </c>
      <c r="I194" s="64"/>
      <c r="J194" s="64"/>
      <c r="K194" s="64"/>
      <c r="M194" t="str">
        <f t="shared" si="21"/>
        <v/>
      </c>
      <c r="N194" t="str">
        <f t="shared" si="22"/>
        <v/>
      </c>
    </row>
    <row r="195" spans="1:14">
      <c r="A195" s="59" t="str">
        <f>IF(C195="","",VLOOKUP('Opći dio'!$C$3,'Opći dio'!$L$6:$U$135,10,0))</f>
        <v/>
      </c>
      <c r="B195" s="59" t="str">
        <f>IF(C195="","",VLOOKUP('Opći dio'!$C$3,'Opći dio'!$L$6:$U$135,9,0))</f>
        <v/>
      </c>
      <c r="C195" s="74"/>
      <c r="D195" s="59" t="str">
        <f t="shared" ref="D195:D258" si="23">IFERROR(VLOOKUP(C195,$O$6:$P$16,2,0),"")</f>
        <v/>
      </c>
      <c r="E195" s="74"/>
      <c r="F195" s="59" t="str">
        <f t="shared" ref="F195:F258" si="24">IFERROR(VLOOKUP(E195,$R$5:$T$129,2,0),"")</f>
        <v/>
      </c>
      <c r="G195" s="75"/>
      <c r="H195" s="59" t="str">
        <f t="shared" ref="H195:H258" si="25">IFERROR(VLOOKUP(G195,$X$6:$Y$50,2,0),"")</f>
        <v/>
      </c>
      <c r="I195" s="64"/>
      <c r="J195" s="64"/>
      <c r="K195" s="64"/>
      <c r="M195" t="str">
        <f t="shared" ref="M195:M258" si="26">LEFT(E195,3)</f>
        <v/>
      </c>
      <c r="N195" t="str">
        <f t="shared" ref="N195:N258" si="27">LEFT(E195,2)</f>
        <v/>
      </c>
    </row>
    <row r="196" spans="1:14">
      <c r="A196" s="59" t="str">
        <f>IF(C196="","",VLOOKUP('Opći dio'!$C$3,'Opći dio'!$L$6:$U$135,10,0))</f>
        <v/>
      </c>
      <c r="B196" s="59" t="str">
        <f>IF(C196="","",VLOOKUP('Opći dio'!$C$3,'Opći dio'!$L$6:$U$135,9,0))</f>
        <v/>
      </c>
      <c r="C196" s="74"/>
      <c r="D196" s="59" t="str">
        <f t="shared" si="23"/>
        <v/>
      </c>
      <c r="E196" s="74"/>
      <c r="F196" s="59" t="str">
        <f t="shared" si="24"/>
        <v/>
      </c>
      <c r="G196" s="75"/>
      <c r="H196" s="59" t="str">
        <f t="shared" si="25"/>
        <v/>
      </c>
      <c r="I196" s="64"/>
      <c r="J196" s="64"/>
      <c r="K196" s="64"/>
      <c r="M196" t="str">
        <f t="shared" si="26"/>
        <v/>
      </c>
      <c r="N196" t="str">
        <f t="shared" si="27"/>
        <v/>
      </c>
    </row>
    <row r="197" spans="1:14">
      <c r="A197" s="59" t="str">
        <f>IF(C197="","",VLOOKUP('Opći dio'!$C$3,'Opći dio'!$L$6:$U$135,10,0))</f>
        <v/>
      </c>
      <c r="B197" s="59" t="str">
        <f>IF(C197="","",VLOOKUP('Opći dio'!$C$3,'Opći dio'!$L$6:$U$135,9,0))</f>
        <v/>
      </c>
      <c r="C197" s="74"/>
      <c r="D197" s="59" t="str">
        <f t="shared" si="23"/>
        <v/>
      </c>
      <c r="E197" s="74"/>
      <c r="F197" s="59" t="str">
        <f t="shared" si="24"/>
        <v/>
      </c>
      <c r="G197" s="75"/>
      <c r="H197" s="59" t="str">
        <f t="shared" si="25"/>
        <v/>
      </c>
      <c r="I197" s="64"/>
      <c r="J197" s="64"/>
      <c r="K197" s="64"/>
      <c r="M197" t="str">
        <f t="shared" si="26"/>
        <v/>
      </c>
      <c r="N197" t="str">
        <f t="shared" si="27"/>
        <v/>
      </c>
    </row>
    <row r="198" spans="1:14">
      <c r="A198" s="59" t="str">
        <f>IF(C198="","",VLOOKUP('Opći dio'!$C$3,'Opći dio'!$L$6:$U$135,10,0))</f>
        <v/>
      </c>
      <c r="B198" s="59" t="str">
        <f>IF(C198="","",VLOOKUP('Opći dio'!$C$3,'Opći dio'!$L$6:$U$135,9,0))</f>
        <v/>
      </c>
      <c r="C198" s="74"/>
      <c r="D198" s="59" t="str">
        <f t="shared" si="23"/>
        <v/>
      </c>
      <c r="E198" s="74"/>
      <c r="F198" s="59" t="str">
        <f t="shared" si="24"/>
        <v/>
      </c>
      <c r="G198" s="75"/>
      <c r="H198" s="59" t="str">
        <f t="shared" si="25"/>
        <v/>
      </c>
      <c r="I198" s="64"/>
      <c r="J198" s="64"/>
      <c r="K198" s="64"/>
      <c r="M198" t="str">
        <f t="shared" si="26"/>
        <v/>
      </c>
      <c r="N198" t="str">
        <f t="shared" si="27"/>
        <v/>
      </c>
    </row>
    <row r="199" spans="1:14">
      <c r="A199" s="59" t="str">
        <f>IF(C199="","",VLOOKUP('Opći dio'!$C$3,'Opći dio'!$L$6:$U$135,10,0))</f>
        <v/>
      </c>
      <c r="B199" s="59" t="str">
        <f>IF(C199="","",VLOOKUP('Opći dio'!$C$3,'Opći dio'!$L$6:$U$135,9,0))</f>
        <v/>
      </c>
      <c r="C199" s="74"/>
      <c r="D199" s="59" t="str">
        <f t="shared" si="23"/>
        <v/>
      </c>
      <c r="E199" s="74"/>
      <c r="F199" s="59" t="str">
        <f t="shared" si="24"/>
        <v/>
      </c>
      <c r="G199" s="75"/>
      <c r="H199" s="59" t="str">
        <f t="shared" si="25"/>
        <v/>
      </c>
      <c r="I199" s="64"/>
      <c r="J199" s="64"/>
      <c r="K199" s="64"/>
      <c r="M199" t="str">
        <f t="shared" si="26"/>
        <v/>
      </c>
      <c r="N199" t="str">
        <f t="shared" si="27"/>
        <v/>
      </c>
    </row>
    <row r="200" spans="1:14">
      <c r="A200" s="59" t="str">
        <f>IF(C200="","",VLOOKUP('Opći dio'!$C$3,'Opći dio'!$L$6:$U$135,10,0))</f>
        <v/>
      </c>
      <c r="B200" s="59" t="str">
        <f>IF(C200="","",VLOOKUP('Opći dio'!$C$3,'Opći dio'!$L$6:$U$135,9,0))</f>
        <v/>
      </c>
      <c r="C200" s="74"/>
      <c r="D200" s="59" t="str">
        <f t="shared" si="23"/>
        <v/>
      </c>
      <c r="E200" s="74"/>
      <c r="F200" s="59" t="str">
        <f t="shared" si="24"/>
        <v/>
      </c>
      <c r="G200" s="75"/>
      <c r="H200" s="59" t="str">
        <f t="shared" si="25"/>
        <v/>
      </c>
      <c r="I200" s="64"/>
      <c r="J200" s="64"/>
      <c r="K200" s="64"/>
      <c r="M200" t="str">
        <f t="shared" si="26"/>
        <v/>
      </c>
      <c r="N200" t="str">
        <f t="shared" si="27"/>
        <v/>
      </c>
    </row>
    <row r="201" spans="1:14">
      <c r="A201" s="59" t="str">
        <f>IF(C201="","",VLOOKUP('Opći dio'!$C$3,'Opći dio'!$L$6:$U$135,10,0))</f>
        <v/>
      </c>
      <c r="B201" s="59" t="str">
        <f>IF(C201="","",VLOOKUP('Opći dio'!$C$3,'Opći dio'!$L$6:$U$135,9,0))</f>
        <v/>
      </c>
      <c r="C201" s="74"/>
      <c r="D201" s="59" t="str">
        <f t="shared" si="23"/>
        <v/>
      </c>
      <c r="E201" s="74"/>
      <c r="F201" s="59" t="str">
        <f t="shared" si="24"/>
        <v/>
      </c>
      <c r="G201" s="75"/>
      <c r="H201" s="59" t="str">
        <f t="shared" si="25"/>
        <v/>
      </c>
      <c r="I201" s="64"/>
      <c r="J201" s="64"/>
      <c r="K201" s="64"/>
      <c r="M201" t="str">
        <f t="shared" si="26"/>
        <v/>
      </c>
      <c r="N201" t="str">
        <f t="shared" si="27"/>
        <v/>
      </c>
    </row>
    <row r="202" spans="1:14">
      <c r="A202" s="59" t="str">
        <f>IF(C202="","",VLOOKUP('Opći dio'!$C$3,'Opći dio'!$L$6:$U$135,10,0))</f>
        <v/>
      </c>
      <c r="B202" s="59" t="str">
        <f>IF(C202="","",VLOOKUP('Opći dio'!$C$3,'Opći dio'!$L$6:$U$135,9,0))</f>
        <v/>
      </c>
      <c r="C202" s="74"/>
      <c r="D202" s="59" t="str">
        <f t="shared" si="23"/>
        <v/>
      </c>
      <c r="E202" s="74"/>
      <c r="F202" s="59" t="str">
        <f t="shared" si="24"/>
        <v/>
      </c>
      <c r="G202" s="75"/>
      <c r="H202" s="59" t="str">
        <f t="shared" si="25"/>
        <v/>
      </c>
      <c r="I202" s="64"/>
      <c r="J202" s="64"/>
      <c r="K202" s="64"/>
      <c r="M202" t="str">
        <f t="shared" si="26"/>
        <v/>
      </c>
      <c r="N202" t="str">
        <f t="shared" si="27"/>
        <v/>
      </c>
    </row>
    <row r="203" spans="1:14">
      <c r="A203" s="59" t="str">
        <f>IF(C203="","",VLOOKUP('Opći dio'!$C$3,'Opći dio'!$L$6:$U$135,10,0))</f>
        <v/>
      </c>
      <c r="B203" s="59" t="str">
        <f>IF(C203="","",VLOOKUP('Opći dio'!$C$3,'Opći dio'!$L$6:$U$135,9,0))</f>
        <v/>
      </c>
      <c r="C203" s="74"/>
      <c r="D203" s="59" t="str">
        <f t="shared" si="23"/>
        <v/>
      </c>
      <c r="E203" s="74"/>
      <c r="F203" s="59" t="str">
        <f t="shared" si="24"/>
        <v/>
      </c>
      <c r="G203" s="75"/>
      <c r="H203" s="59" t="str">
        <f t="shared" si="25"/>
        <v/>
      </c>
      <c r="I203" s="64"/>
      <c r="J203" s="64"/>
      <c r="K203" s="64"/>
      <c r="M203" t="str">
        <f t="shared" si="26"/>
        <v/>
      </c>
      <c r="N203" t="str">
        <f t="shared" si="27"/>
        <v/>
      </c>
    </row>
    <row r="204" spans="1:14">
      <c r="A204" s="59" t="str">
        <f>IF(C204="","",VLOOKUP('Opći dio'!$C$3,'Opći dio'!$L$6:$U$135,10,0))</f>
        <v/>
      </c>
      <c r="B204" s="59" t="str">
        <f>IF(C204="","",VLOOKUP('Opći dio'!$C$3,'Opći dio'!$L$6:$U$135,9,0))</f>
        <v/>
      </c>
      <c r="C204" s="74"/>
      <c r="D204" s="59" t="str">
        <f t="shared" si="23"/>
        <v/>
      </c>
      <c r="E204" s="74"/>
      <c r="F204" s="59" t="str">
        <f t="shared" si="24"/>
        <v/>
      </c>
      <c r="G204" s="75"/>
      <c r="H204" s="59" t="str">
        <f t="shared" si="25"/>
        <v/>
      </c>
      <c r="I204" s="64"/>
      <c r="J204" s="64"/>
      <c r="K204" s="64"/>
      <c r="M204" t="str">
        <f t="shared" si="26"/>
        <v/>
      </c>
      <c r="N204" t="str">
        <f t="shared" si="27"/>
        <v/>
      </c>
    </row>
    <row r="205" spans="1:14">
      <c r="A205" s="59" t="str">
        <f>IF(C205="","",VLOOKUP('Opći dio'!$C$3,'Opći dio'!$L$6:$U$135,10,0))</f>
        <v/>
      </c>
      <c r="B205" s="59" t="str">
        <f>IF(C205="","",VLOOKUP('Opći dio'!$C$3,'Opći dio'!$L$6:$U$135,9,0))</f>
        <v/>
      </c>
      <c r="C205" s="74"/>
      <c r="D205" s="59" t="str">
        <f t="shared" si="23"/>
        <v/>
      </c>
      <c r="E205" s="74"/>
      <c r="F205" s="59" t="str">
        <f t="shared" si="24"/>
        <v/>
      </c>
      <c r="G205" s="75"/>
      <c r="H205" s="59" t="str">
        <f t="shared" si="25"/>
        <v/>
      </c>
      <c r="I205" s="64"/>
      <c r="J205" s="64"/>
      <c r="K205" s="64"/>
      <c r="M205" t="str">
        <f t="shared" si="26"/>
        <v/>
      </c>
      <c r="N205" t="str">
        <f t="shared" si="27"/>
        <v/>
      </c>
    </row>
    <row r="206" spans="1:14">
      <c r="A206" s="59" t="str">
        <f>IF(C206="","",VLOOKUP('Opći dio'!$C$3,'Opći dio'!$L$6:$U$135,10,0))</f>
        <v/>
      </c>
      <c r="B206" s="59" t="str">
        <f>IF(C206="","",VLOOKUP('Opći dio'!$C$3,'Opći dio'!$L$6:$U$135,9,0))</f>
        <v/>
      </c>
      <c r="C206" s="74"/>
      <c r="D206" s="59" t="str">
        <f t="shared" si="23"/>
        <v/>
      </c>
      <c r="E206" s="74"/>
      <c r="F206" s="59" t="str">
        <f t="shared" si="24"/>
        <v/>
      </c>
      <c r="G206" s="75"/>
      <c r="H206" s="59" t="str">
        <f t="shared" si="25"/>
        <v/>
      </c>
      <c r="I206" s="64"/>
      <c r="J206" s="64"/>
      <c r="K206" s="64"/>
      <c r="M206" t="str">
        <f t="shared" si="26"/>
        <v/>
      </c>
      <c r="N206" t="str">
        <f t="shared" si="27"/>
        <v/>
      </c>
    </row>
    <row r="207" spans="1:14">
      <c r="A207" s="59" t="str">
        <f>IF(C207="","",VLOOKUP('Opći dio'!$C$3,'Opći dio'!$L$6:$U$135,10,0))</f>
        <v/>
      </c>
      <c r="B207" s="59" t="str">
        <f>IF(C207="","",VLOOKUP('Opći dio'!$C$3,'Opći dio'!$L$6:$U$135,9,0))</f>
        <v/>
      </c>
      <c r="C207" s="74"/>
      <c r="D207" s="59" t="str">
        <f t="shared" si="23"/>
        <v/>
      </c>
      <c r="E207" s="74"/>
      <c r="F207" s="59" t="str">
        <f t="shared" si="24"/>
        <v/>
      </c>
      <c r="G207" s="75"/>
      <c r="H207" s="59" t="str">
        <f t="shared" si="25"/>
        <v/>
      </c>
      <c r="I207" s="64"/>
      <c r="J207" s="64"/>
      <c r="K207" s="64"/>
      <c r="M207" t="str">
        <f t="shared" si="26"/>
        <v/>
      </c>
      <c r="N207" t="str">
        <f t="shared" si="27"/>
        <v/>
      </c>
    </row>
    <row r="208" spans="1:14">
      <c r="A208" s="59" t="str">
        <f>IF(C208="","",VLOOKUP('Opći dio'!$C$3,'Opći dio'!$L$6:$U$135,10,0))</f>
        <v/>
      </c>
      <c r="B208" s="59" t="str">
        <f>IF(C208="","",VLOOKUP('Opći dio'!$C$3,'Opći dio'!$L$6:$U$135,9,0))</f>
        <v/>
      </c>
      <c r="C208" s="74"/>
      <c r="D208" s="59" t="str">
        <f t="shared" si="23"/>
        <v/>
      </c>
      <c r="E208" s="74"/>
      <c r="F208" s="59" t="str">
        <f t="shared" si="24"/>
        <v/>
      </c>
      <c r="G208" s="75"/>
      <c r="H208" s="59" t="str">
        <f t="shared" si="25"/>
        <v/>
      </c>
      <c r="I208" s="64"/>
      <c r="J208" s="64"/>
      <c r="K208" s="64"/>
      <c r="M208" t="str">
        <f t="shared" si="26"/>
        <v/>
      </c>
      <c r="N208" t="str">
        <f t="shared" si="27"/>
        <v/>
      </c>
    </row>
    <row r="209" spans="1:14">
      <c r="A209" s="59" t="str">
        <f>IF(C209="","",VLOOKUP('Opći dio'!$C$3,'Opći dio'!$L$6:$U$135,10,0))</f>
        <v/>
      </c>
      <c r="B209" s="59" t="str">
        <f>IF(C209="","",VLOOKUP('Opći dio'!$C$3,'Opći dio'!$L$6:$U$135,9,0))</f>
        <v/>
      </c>
      <c r="C209" s="74"/>
      <c r="D209" s="59" t="str">
        <f t="shared" si="23"/>
        <v/>
      </c>
      <c r="E209" s="74"/>
      <c r="F209" s="59" t="str">
        <f t="shared" si="24"/>
        <v/>
      </c>
      <c r="G209" s="75"/>
      <c r="H209" s="59" t="str">
        <f t="shared" si="25"/>
        <v/>
      </c>
      <c r="I209" s="64"/>
      <c r="J209" s="64"/>
      <c r="K209" s="64"/>
      <c r="M209" t="str">
        <f t="shared" si="26"/>
        <v/>
      </c>
      <c r="N209" t="str">
        <f t="shared" si="27"/>
        <v/>
      </c>
    </row>
    <row r="210" spans="1:14">
      <c r="A210" s="59" t="str">
        <f>IF(C210="","",VLOOKUP('Opći dio'!$C$3,'Opći dio'!$L$6:$U$135,10,0))</f>
        <v/>
      </c>
      <c r="B210" s="59" t="str">
        <f>IF(C210="","",VLOOKUP('Opći dio'!$C$3,'Opći dio'!$L$6:$U$135,9,0))</f>
        <v/>
      </c>
      <c r="C210" s="74"/>
      <c r="D210" s="59" t="str">
        <f t="shared" si="23"/>
        <v/>
      </c>
      <c r="E210" s="74"/>
      <c r="F210" s="59" t="str">
        <f t="shared" si="24"/>
        <v/>
      </c>
      <c r="G210" s="75"/>
      <c r="H210" s="59" t="str">
        <f t="shared" si="25"/>
        <v/>
      </c>
      <c r="I210" s="64"/>
      <c r="J210" s="64"/>
      <c r="K210" s="64"/>
      <c r="M210" t="str">
        <f t="shared" si="26"/>
        <v/>
      </c>
      <c r="N210" t="str">
        <f t="shared" si="27"/>
        <v/>
      </c>
    </row>
    <row r="211" spans="1:14">
      <c r="A211" s="59" t="str">
        <f>IF(C211="","",VLOOKUP('Opći dio'!$C$3,'Opći dio'!$L$6:$U$135,10,0))</f>
        <v/>
      </c>
      <c r="B211" s="59" t="str">
        <f>IF(C211="","",VLOOKUP('Opći dio'!$C$3,'Opći dio'!$L$6:$U$135,9,0))</f>
        <v/>
      </c>
      <c r="C211" s="74"/>
      <c r="D211" s="59" t="str">
        <f t="shared" si="23"/>
        <v/>
      </c>
      <c r="E211" s="74"/>
      <c r="F211" s="59" t="str">
        <f t="shared" si="24"/>
        <v/>
      </c>
      <c r="G211" s="75"/>
      <c r="H211" s="59" t="str">
        <f t="shared" si="25"/>
        <v/>
      </c>
      <c r="I211" s="64"/>
      <c r="J211" s="64"/>
      <c r="K211" s="64"/>
      <c r="M211" t="str">
        <f t="shared" si="26"/>
        <v/>
      </c>
      <c r="N211" t="str">
        <f t="shared" si="27"/>
        <v/>
      </c>
    </row>
    <row r="212" spans="1:14">
      <c r="A212" s="59" t="str">
        <f>IF(C212="","",VLOOKUP('Opći dio'!$C$3,'Opći dio'!$L$6:$U$135,10,0))</f>
        <v/>
      </c>
      <c r="B212" s="59" t="str">
        <f>IF(C212="","",VLOOKUP('Opći dio'!$C$3,'Opći dio'!$L$6:$U$135,9,0))</f>
        <v/>
      </c>
      <c r="C212" s="74"/>
      <c r="D212" s="59" t="str">
        <f t="shared" si="23"/>
        <v/>
      </c>
      <c r="E212" s="74"/>
      <c r="F212" s="59" t="str">
        <f t="shared" si="24"/>
        <v/>
      </c>
      <c r="G212" s="75"/>
      <c r="H212" s="59" t="str">
        <f t="shared" si="25"/>
        <v/>
      </c>
      <c r="I212" s="64"/>
      <c r="J212" s="64"/>
      <c r="K212" s="64"/>
      <c r="M212" t="str">
        <f t="shared" si="26"/>
        <v/>
      </c>
      <c r="N212" t="str">
        <f t="shared" si="27"/>
        <v/>
      </c>
    </row>
    <row r="213" spans="1:14">
      <c r="A213" s="59" t="str">
        <f>IF(C213="","",VLOOKUP('Opći dio'!$C$3,'Opći dio'!$L$6:$U$135,10,0))</f>
        <v/>
      </c>
      <c r="B213" s="59" t="str">
        <f>IF(C213="","",VLOOKUP('Opći dio'!$C$3,'Opći dio'!$L$6:$U$135,9,0))</f>
        <v/>
      </c>
      <c r="C213" s="74"/>
      <c r="D213" s="59" t="str">
        <f t="shared" si="23"/>
        <v/>
      </c>
      <c r="E213" s="74"/>
      <c r="F213" s="59" t="str">
        <f t="shared" si="24"/>
        <v/>
      </c>
      <c r="G213" s="75"/>
      <c r="H213" s="59" t="str">
        <f t="shared" si="25"/>
        <v/>
      </c>
      <c r="I213" s="64"/>
      <c r="J213" s="64"/>
      <c r="K213" s="64"/>
      <c r="M213" t="str">
        <f t="shared" si="26"/>
        <v/>
      </c>
      <c r="N213" t="str">
        <f t="shared" si="27"/>
        <v/>
      </c>
    </row>
    <row r="214" spans="1:14">
      <c r="A214" s="59" t="str">
        <f>IF(C214="","",VLOOKUP('Opći dio'!$C$3,'Opći dio'!$L$6:$U$135,10,0))</f>
        <v/>
      </c>
      <c r="B214" s="59" t="str">
        <f>IF(C214="","",VLOOKUP('Opći dio'!$C$3,'Opći dio'!$L$6:$U$135,9,0))</f>
        <v/>
      </c>
      <c r="C214" s="74"/>
      <c r="D214" s="59" t="str">
        <f t="shared" si="23"/>
        <v/>
      </c>
      <c r="E214" s="74"/>
      <c r="F214" s="59" t="str">
        <f t="shared" si="24"/>
        <v/>
      </c>
      <c r="G214" s="75"/>
      <c r="H214" s="59" t="str">
        <f t="shared" si="25"/>
        <v/>
      </c>
      <c r="I214" s="64"/>
      <c r="J214" s="64"/>
      <c r="K214" s="64"/>
      <c r="M214" t="str">
        <f t="shared" si="26"/>
        <v/>
      </c>
      <c r="N214" t="str">
        <f t="shared" si="27"/>
        <v/>
      </c>
    </row>
    <row r="215" spans="1:14">
      <c r="A215" s="59" t="str">
        <f>IF(C215="","",VLOOKUP('Opći dio'!$C$3,'Opći dio'!$L$6:$U$135,10,0))</f>
        <v/>
      </c>
      <c r="B215" s="59" t="str">
        <f>IF(C215="","",VLOOKUP('Opći dio'!$C$3,'Opći dio'!$L$6:$U$135,9,0))</f>
        <v/>
      </c>
      <c r="C215" s="74"/>
      <c r="D215" s="59" t="str">
        <f t="shared" si="23"/>
        <v/>
      </c>
      <c r="E215" s="74"/>
      <c r="F215" s="59" t="str">
        <f t="shared" si="24"/>
        <v/>
      </c>
      <c r="G215" s="75"/>
      <c r="H215" s="59" t="str">
        <f t="shared" si="25"/>
        <v/>
      </c>
      <c r="I215" s="64"/>
      <c r="J215" s="64"/>
      <c r="K215" s="64"/>
      <c r="M215" t="str">
        <f t="shared" si="26"/>
        <v/>
      </c>
      <c r="N215" t="str">
        <f t="shared" si="27"/>
        <v/>
      </c>
    </row>
    <row r="216" spans="1:14">
      <c r="A216" s="59" t="str">
        <f>IF(C216="","",VLOOKUP('Opći dio'!$C$3,'Opći dio'!$L$6:$U$135,10,0))</f>
        <v/>
      </c>
      <c r="B216" s="59" t="str">
        <f>IF(C216="","",VLOOKUP('Opći dio'!$C$3,'Opći dio'!$L$6:$U$135,9,0))</f>
        <v/>
      </c>
      <c r="C216" s="74"/>
      <c r="D216" s="59" t="str">
        <f t="shared" si="23"/>
        <v/>
      </c>
      <c r="E216" s="74"/>
      <c r="F216" s="59" t="str">
        <f t="shared" si="24"/>
        <v/>
      </c>
      <c r="G216" s="75"/>
      <c r="H216" s="59" t="str">
        <f t="shared" si="25"/>
        <v/>
      </c>
      <c r="I216" s="64"/>
      <c r="J216" s="64"/>
      <c r="K216" s="64"/>
      <c r="M216" t="str">
        <f t="shared" si="26"/>
        <v/>
      </c>
      <c r="N216" t="str">
        <f t="shared" si="27"/>
        <v/>
      </c>
    </row>
    <row r="217" spans="1:14">
      <c r="A217" s="59" t="str">
        <f>IF(C217="","",VLOOKUP('Opći dio'!$C$3,'Opći dio'!$L$6:$U$135,10,0))</f>
        <v/>
      </c>
      <c r="B217" s="59" t="str">
        <f>IF(C217="","",VLOOKUP('Opći dio'!$C$3,'Opći dio'!$L$6:$U$135,9,0))</f>
        <v/>
      </c>
      <c r="C217" s="74"/>
      <c r="D217" s="59" t="str">
        <f t="shared" si="23"/>
        <v/>
      </c>
      <c r="E217" s="74"/>
      <c r="F217" s="59" t="str">
        <f t="shared" si="24"/>
        <v/>
      </c>
      <c r="G217" s="75"/>
      <c r="H217" s="59" t="str">
        <f t="shared" si="25"/>
        <v/>
      </c>
      <c r="I217" s="64"/>
      <c r="J217" s="64"/>
      <c r="K217" s="64"/>
      <c r="M217" t="str">
        <f t="shared" si="26"/>
        <v/>
      </c>
      <c r="N217" t="str">
        <f t="shared" si="27"/>
        <v/>
      </c>
    </row>
    <row r="218" spans="1:14">
      <c r="A218" s="59" t="str">
        <f>IF(C218="","",VLOOKUP('Opći dio'!$C$3,'Opći dio'!$L$6:$U$135,10,0))</f>
        <v/>
      </c>
      <c r="B218" s="59" t="str">
        <f>IF(C218="","",VLOOKUP('Opći dio'!$C$3,'Opći dio'!$L$6:$U$135,9,0))</f>
        <v/>
      </c>
      <c r="C218" s="74"/>
      <c r="D218" s="59" t="str">
        <f t="shared" si="23"/>
        <v/>
      </c>
      <c r="E218" s="74"/>
      <c r="F218" s="59" t="str">
        <f t="shared" si="24"/>
        <v/>
      </c>
      <c r="G218" s="75"/>
      <c r="H218" s="59" t="str">
        <f t="shared" si="25"/>
        <v/>
      </c>
      <c r="I218" s="64"/>
      <c r="J218" s="64"/>
      <c r="K218" s="64"/>
      <c r="M218" t="str">
        <f t="shared" si="26"/>
        <v/>
      </c>
      <c r="N218" t="str">
        <f t="shared" si="27"/>
        <v/>
      </c>
    </row>
    <row r="219" spans="1:14">
      <c r="A219" s="59" t="str">
        <f>IF(C219="","",VLOOKUP('Opći dio'!$C$3,'Opći dio'!$L$6:$U$135,10,0))</f>
        <v/>
      </c>
      <c r="B219" s="59" t="str">
        <f>IF(C219="","",VLOOKUP('Opći dio'!$C$3,'Opći dio'!$L$6:$U$135,9,0))</f>
        <v/>
      </c>
      <c r="C219" s="74"/>
      <c r="D219" s="59" t="str">
        <f t="shared" si="23"/>
        <v/>
      </c>
      <c r="E219" s="74"/>
      <c r="F219" s="59" t="str">
        <f t="shared" si="24"/>
        <v/>
      </c>
      <c r="G219" s="75"/>
      <c r="H219" s="59" t="str">
        <f t="shared" si="25"/>
        <v/>
      </c>
      <c r="I219" s="64"/>
      <c r="J219" s="64"/>
      <c r="K219" s="64"/>
      <c r="M219" t="str">
        <f t="shared" si="26"/>
        <v/>
      </c>
      <c r="N219" t="str">
        <f t="shared" si="27"/>
        <v/>
      </c>
    </row>
    <row r="220" spans="1:14">
      <c r="A220" s="59" t="str">
        <f>IF(C220="","",VLOOKUP('Opći dio'!$C$3,'Opći dio'!$L$6:$U$135,10,0))</f>
        <v/>
      </c>
      <c r="B220" s="59" t="str">
        <f>IF(C220="","",VLOOKUP('Opći dio'!$C$3,'Opći dio'!$L$6:$U$135,9,0))</f>
        <v/>
      </c>
      <c r="C220" s="74"/>
      <c r="D220" s="59" t="str">
        <f t="shared" si="23"/>
        <v/>
      </c>
      <c r="E220" s="74"/>
      <c r="F220" s="59" t="str">
        <f t="shared" si="24"/>
        <v/>
      </c>
      <c r="G220" s="75"/>
      <c r="H220" s="59" t="str">
        <f t="shared" si="25"/>
        <v/>
      </c>
      <c r="I220" s="64"/>
      <c r="J220" s="64"/>
      <c r="K220" s="64"/>
      <c r="M220" t="str">
        <f t="shared" si="26"/>
        <v/>
      </c>
      <c r="N220" t="str">
        <f t="shared" si="27"/>
        <v/>
      </c>
    </row>
    <row r="221" spans="1:14">
      <c r="A221" s="59" t="str">
        <f>IF(C221="","",VLOOKUP('Opći dio'!$C$3,'Opći dio'!$L$6:$U$135,10,0))</f>
        <v/>
      </c>
      <c r="B221" s="59" t="str">
        <f>IF(C221="","",VLOOKUP('Opći dio'!$C$3,'Opći dio'!$L$6:$U$135,9,0))</f>
        <v/>
      </c>
      <c r="C221" s="74"/>
      <c r="D221" s="59" t="str">
        <f t="shared" si="23"/>
        <v/>
      </c>
      <c r="E221" s="74"/>
      <c r="F221" s="59" t="str">
        <f t="shared" si="24"/>
        <v/>
      </c>
      <c r="G221" s="75"/>
      <c r="H221" s="59" t="str">
        <f t="shared" si="25"/>
        <v/>
      </c>
      <c r="I221" s="64"/>
      <c r="J221" s="64"/>
      <c r="K221" s="64"/>
      <c r="M221" t="str">
        <f t="shared" si="26"/>
        <v/>
      </c>
      <c r="N221" t="str">
        <f t="shared" si="27"/>
        <v/>
      </c>
    </row>
    <row r="222" spans="1:14">
      <c r="A222" s="59" t="str">
        <f>IF(C222="","",VLOOKUP('Opći dio'!$C$3,'Opći dio'!$L$6:$U$135,10,0))</f>
        <v/>
      </c>
      <c r="B222" s="59" t="str">
        <f>IF(C222="","",VLOOKUP('Opći dio'!$C$3,'Opći dio'!$L$6:$U$135,9,0))</f>
        <v/>
      </c>
      <c r="C222" s="74"/>
      <c r="D222" s="59" t="str">
        <f t="shared" si="23"/>
        <v/>
      </c>
      <c r="E222" s="74"/>
      <c r="F222" s="59" t="str">
        <f t="shared" si="24"/>
        <v/>
      </c>
      <c r="G222" s="75"/>
      <c r="H222" s="59" t="str">
        <f t="shared" si="25"/>
        <v/>
      </c>
      <c r="I222" s="64"/>
      <c r="J222" s="64"/>
      <c r="K222" s="64"/>
      <c r="M222" t="str">
        <f t="shared" si="26"/>
        <v/>
      </c>
      <c r="N222" t="str">
        <f t="shared" si="27"/>
        <v/>
      </c>
    </row>
    <row r="223" spans="1:14">
      <c r="A223" s="59" t="str">
        <f>IF(C223="","",VLOOKUP('Opći dio'!$C$3,'Opći dio'!$L$6:$U$135,10,0))</f>
        <v/>
      </c>
      <c r="B223" s="59" t="str">
        <f>IF(C223="","",VLOOKUP('Opći dio'!$C$3,'Opći dio'!$L$6:$U$135,9,0))</f>
        <v/>
      </c>
      <c r="C223" s="74"/>
      <c r="D223" s="59" t="str">
        <f t="shared" si="23"/>
        <v/>
      </c>
      <c r="E223" s="74"/>
      <c r="F223" s="59" t="str">
        <f t="shared" si="24"/>
        <v/>
      </c>
      <c r="G223" s="75"/>
      <c r="H223" s="59" t="str">
        <f t="shared" si="25"/>
        <v/>
      </c>
      <c r="I223" s="64"/>
      <c r="J223" s="64"/>
      <c r="K223" s="64"/>
      <c r="M223" t="str">
        <f t="shared" si="26"/>
        <v/>
      </c>
      <c r="N223" t="str">
        <f t="shared" si="27"/>
        <v/>
      </c>
    </row>
    <row r="224" spans="1:14">
      <c r="A224" s="59" t="str">
        <f>IF(C224="","",VLOOKUP('Opći dio'!$C$3,'Opći dio'!$L$6:$U$135,10,0))</f>
        <v/>
      </c>
      <c r="B224" s="59" t="str">
        <f>IF(C224="","",VLOOKUP('Opći dio'!$C$3,'Opći dio'!$L$6:$U$135,9,0))</f>
        <v/>
      </c>
      <c r="C224" s="74"/>
      <c r="D224" s="59" t="str">
        <f t="shared" si="23"/>
        <v/>
      </c>
      <c r="E224" s="74"/>
      <c r="F224" s="59" t="str">
        <f t="shared" si="24"/>
        <v/>
      </c>
      <c r="G224" s="75"/>
      <c r="H224" s="59" t="str">
        <f t="shared" si="25"/>
        <v/>
      </c>
      <c r="I224" s="64"/>
      <c r="J224" s="64"/>
      <c r="K224" s="64"/>
      <c r="M224" t="str">
        <f t="shared" si="26"/>
        <v/>
      </c>
      <c r="N224" t="str">
        <f t="shared" si="27"/>
        <v/>
      </c>
    </row>
    <row r="225" spans="1:14">
      <c r="A225" s="59" t="str">
        <f>IF(C225="","",VLOOKUP('Opći dio'!$C$3,'Opći dio'!$L$6:$U$135,10,0))</f>
        <v/>
      </c>
      <c r="B225" s="59" t="str">
        <f>IF(C225="","",VLOOKUP('Opći dio'!$C$3,'Opći dio'!$L$6:$U$135,9,0))</f>
        <v/>
      </c>
      <c r="C225" s="74"/>
      <c r="D225" s="59" t="str">
        <f t="shared" si="23"/>
        <v/>
      </c>
      <c r="E225" s="74"/>
      <c r="F225" s="59" t="str">
        <f t="shared" si="24"/>
        <v/>
      </c>
      <c r="G225" s="75"/>
      <c r="H225" s="59" t="str">
        <f t="shared" si="25"/>
        <v/>
      </c>
      <c r="I225" s="64"/>
      <c r="J225" s="64"/>
      <c r="K225" s="64"/>
      <c r="M225" t="str">
        <f t="shared" si="26"/>
        <v/>
      </c>
      <c r="N225" t="str">
        <f t="shared" si="27"/>
        <v/>
      </c>
    </row>
    <row r="226" spans="1:14">
      <c r="A226" s="59" t="str">
        <f>IF(C226="","",VLOOKUP('Opći dio'!$C$3,'Opći dio'!$L$6:$U$135,10,0))</f>
        <v/>
      </c>
      <c r="B226" s="59" t="str">
        <f>IF(C226="","",VLOOKUP('Opći dio'!$C$3,'Opći dio'!$L$6:$U$135,9,0))</f>
        <v/>
      </c>
      <c r="C226" s="74"/>
      <c r="D226" s="59" t="str">
        <f t="shared" si="23"/>
        <v/>
      </c>
      <c r="E226" s="74"/>
      <c r="F226" s="59" t="str">
        <f t="shared" si="24"/>
        <v/>
      </c>
      <c r="G226" s="75"/>
      <c r="H226" s="59" t="str">
        <f t="shared" si="25"/>
        <v/>
      </c>
      <c r="I226" s="64"/>
      <c r="J226" s="64"/>
      <c r="K226" s="64"/>
      <c r="M226" t="str">
        <f t="shared" si="26"/>
        <v/>
      </c>
      <c r="N226" t="str">
        <f t="shared" si="27"/>
        <v/>
      </c>
    </row>
    <row r="227" spans="1:14">
      <c r="A227" s="59" t="str">
        <f>IF(C227="","",VLOOKUP('Opći dio'!$C$3,'Opći dio'!$L$6:$U$135,10,0))</f>
        <v/>
      </c>
      <c r="B227" s="59" t="str">
        <f>IF(C227="","",VLOOKUP('Opći dio'!$C$3,'Opći dio'!$L$6:$U$135,9,0))</f>
        <v/>
      </c>
      <c r="C227" s="74"/>
      <c r="D227" s="59" t="str">
        <f t="shared" si="23"/>
        <v/>
      </c>
      <c r="E227" s="74"/>
      <c r="F227" s="59" t="str">
        <f t="shared" si="24"/>
        <v/>
      </c>
      <c r="G227" s="75"/>
      <c r="H227" s="59" t="str">
        <f t="shared" si="25"/>
        <v/>
      </c>
      <c r="I227" s="64"/>
      <c r="J227" s="64"/>
      <c r="K227" s="64"/>
      <c r="M227" t="str">
        <f t="shared" si="26"/>
        <v/>
      </c>
      <c r="N227" t="str">
        <f t="shared" si="27"/>
        <v/>
      </c>
    </row>
    <row r="228" spans="1:14">
      <c r="A228" s="59" t="str">
        <f>IF(C228="","",VLOOKUP('Opći dio'!$C$3,'Opći dio'!$L$6:$U$135,10,0))</f>
        <v/>
      </c>
      <c r="B228" s="59" t="str">
        <f>IF(C228="","",VLOOKUP('Opći dio'!$C$3,'Opći dio'!$L$6:$U$135,9,0))</f>
        <v/>
      </c>
      <c r="C228" s="74"/>
      <c r="D228" s="59" t="str">
        <f t="shared" si="23"/>
        <v/>
      </c>
      <c r="E228" s="74"/>
      <c r="F228" s="59" t="str">
        <f t="shared" si="24"/>
        <v/>
      </c>
      <c r="G228" s="75"/>
      <c r="H228" s="59" t="str">
        <f t="shared" si="25"/>
        <v/>
      </c>
      <c r="I228" s="64"/>
      <c r="J228" s="64"/>
      <c r="K228" s="64"/>
      <c r="M228" t="str">
        <f t="shared" si="26"/>
        <v/>
      </c>
      <c r="N228" t="str">
        <f t="shared" si="27"/>
        <v/>
      </c>
    </row>
    <row r="229" spans="1:14">
      <c r="A229" s="59" t="str">
        <f>IF(C229="","",VLOOKUP('Opći dio'!$C$3,'Opći dio'!$L$6:$U$135,10,0))</f>
        <v/>
      </c>
      <c r="B229" s="59" t="str">
        <f>IF(C229="","",VLOOKUP('Opći dio'!$C$3,'Opći dio'!$L$6:$U$135,9,0))</f>
        <v/>
      </c>
      <c r="C229" s="74"/>
      <c r="D229" s="59" t="str">
        <f t="shared" si="23"/>
        <v/>
      </c>
      <c r="E229" s="74"/>
      <c r="F229" s="59" t="str">
        <f t="shared" si="24"/>
        <v/>
      </c>
      <c r="G229" s="75"/>
      <c r="H229" s="59" t="str">
        <f t="shared" si="25"/>
        <v/>
      </c>
      <c r="I229" s="64"/>
      <c r="J229" s="64"/>
      <c r="K229" s="64"/>
      <c r="M229" t="str">
        <f t="shared" si="26"/>
        <v/>
      </c>
      <c r="N229" t="str">
        <f t="shared" si="27"/>
        <v/>
      </c>
    </row>
    <row r="230" spans="1:14">
      <c r="A230" s="59" t="str">
        <f>IF(C230="","",VLOOKUP('Opći dio'!$C$3,'Opći dio'!$L$6:$U$135,10,0))</f>
        <v/>
      </c>
      <c r="B230" s="59" t="str">
        <f>IF(C230="","",VLOOKUP('Opći dio'!$C$3,'Opći dio'!$L$6:$U$135,9,0))</f>
        <v/>
      </c>
      <c r="C230" s="74"/>
      <c r="D230" s="59" t="str">
        <f t="shared" si="23"/>
        <v/>
      </c>
      <c r="E230" s="74"/>
      <c r="F230" s="59" t="str">
        <f t="shared" si="24"/>
        <v/>
      </c>
      <c r="G230" s="75"/>
      <c r="H230" s="59" t="str">
        <f t="shared" si="25"/>
        <v/>
      </c>
      <c r="I230" s="64"/>
      <c r="J230" s="64"/>
      <c r="K230" s="64"/>
      <c r="M230" t="str">
        <f t="shared" si="26"/>
        <v/>
      </c>
      <c r="N230" t="str">
        <f t="shared" si="27"/>
        <v/>
      </c>
    </row>
    <row r="231" spans="1:14">
      <c r="A231" s="59" t="str">
        <f>IF(C231="","",VLOOKUP('Opći dio'!$C$3,'Opći dio'!$L$6:$U$135,10,0))</f>
        <v/>
      </c>
      <c r="B231" s="59" t="str">
        <f>IF(C231="","",VLOOKUP('Opći dio'!$C$3,'Opći dio'!$L$6:$U$135,9,0))</f>
        <v/>
      </c>
      <c r="C231" s="74"/>
      <c r="D231" s="59" t="str">
        <f t="shared" si="23"/>
        <v/>
      </c>
      <c r="E231" s="74"/>
      <c r="F231" s="59" t="str">
        <f t="shared" si="24"/>
        <v/>
      </c>
      <c r="G231" s="75"/>
      <c r="H231" s="59" t="str">
        <f t="shared" si="25"/>
        <v/>
      </c>
      <c r="I231" s="64"/>
      <c r="J231" s="64"/>
      <c r="K231" s="64"/>
      <c r="M231" t="str">
        <f t="shared" si="26"/>
        <v/>
      </c>
      <c r="N231" t="str">
        <f t="shared" si="27"/>
        <v/>
      </c>
    </row>
    <row r="232" spans="1:14">
      <c r="A232" s="59" t="str">
        <f>IF(C232="","",VLOOKUP('Opći dio'!$C$3,'Opći dio'!$L$6:$U$135,10,0))</f>
        <v/>
      </c>
      <c r="B232" s="59" t="str">
        <f>IF(C232="","",VLOOKUP('Opći dio'!$C$3,'Opći dio'!$L$6:$U$135,9,0))</f>
        <v/>
      </c>
      <c r="C232" s="74"/>
      <c r="D232" s="59" t="str">
        <f t="shared" si="23"/>
        <v/>
      </c>
      <c r="E232" s="74"/>
      <c r="F232" s="59" t="str">
        <f t="shared" si="24"/>
        <v/>
      </c>
      <c r="G232" s="75"/>
      <c r="H232" s="59" t="str">
        <f t="shared" si="25"/>
        <v/>
      </c>
      <c r="I232" s="64"/>
      <c r="J232" s="64"/>
      <c r="K232" s="64"/>
      <c r="M232" t="str">
        <f t="shared" si="26"/>
        <v/>
      </c>
      <c r="N232" t="str">
        <f t="shared" si="27"/>
        <v/>
      </c>
    </row>
    <row r="233" spans="1:14">
      <c r="A233" s="59" t="str">
        <f>IF(C233="","",VLOOKUP('Opći dio'!$C$3,'Opći dio'!$L$6:$U$135,10,0))</f>
        <v/>
      </c>
      <c r="B233" s="59" t="str">
        <f>IF(C233="","",VLOOKUP('Opći dio'!$C$3,'Opći dio'!$L$6:$U$135,9,0))</f>
        <v/>
      </c>
      <c r="C233" s="74"/>
      <c r="D233" s="59" t="str">
        <f t="shared" si="23"/>
        <v/>
      </c>
      <c r="E233" s="74"/>
      <c r="F233" s="59" t="str">
        <f t="shared" si="24"/>
        <v/>
      </c>
      <c r="G233" s="75"/>
      <c r="H233" s="59" t="str">
        <f t="shared" si="25"/>
        <v/>
      </c>
      <c r="I233" s="64"/>
      <c r="J233" s="64"/>
      <c r="K233" s="64"/>
      <c r="M233" t="str">
        <f t="shared" si="26"/>
        <v/>
      </c>
      <c r="N233" t="str">
        <f t="shared" si="27"/>
        <v/>
      </c>
    </row>
    <row r="234" spans="1:14">
      <c r="A234" s="59" t="str">
        <f>IF(C234="","",VLOOKUP('Opći dio'!$C$3,'Opći dio'!$L$6:$U$135,10,0))</f>
        <v/>
      </c>
      <c r="B234" s="59" t="str">
        <f>IF(C234="","",VLOOKUP('Opći dio'!$C$3,'Opći dio'!$L$6:$U$135,9,0))</f>
        <v/>
      </c>
      <c r="C234" s="74"/>
      <c r="D234" s="59" t="str">
        <f t="shared" si="23"/>
        <v/>
      </c>
      <c r="E234" s="74"/>
      <c r="F234" s="59" t="str">
        <f t="shared" si="24"/>
        <v/>
      </c>
      <c r="G234" s="75"/>
      <c r="H234" s="59" t="str">
        <f t="shared" si="25"/>
        <v/>
      </c>
      <c r="I234" s="64"/>
      <c r="J234" s="64"/>
      <c r="K234" s="64"/>
      <c r="M234" t="str">
        <f t="shared" si="26"/>
        <v/>
      </c>
      <c r="N234" t="str">
        <f t="shared" si="27"/>
        <v/>
      </c>
    </row>
    <row r="235" spans="1:14">
      <c r="A235" s="59" t="str">
        <f>IF(C235="","",VLOOKUP('Opći dio'!$C$3,'Opći dio'!$L$6:$U$135,10,0))</f>
        <v/>
      </c>
      <c r="B235" s="59" t="str">
        <f>IF(C235="","",VLOOKUP('Opći dio'!$C$3,'Opći dio'!$L$6:$U$135,9,0))</f>
        <v/>
      </c>
      <c r="C235" s="74"/>
      <c r="D235" s="59" t="str">
        <f t="shared" si="23"/>
        <v/>
      </c>
      <c r="E235" s="74"/>
      <c r="F235" s="59" t="str">
        <f t="shared" si="24"/>
        <v/>
      </c>
      <c r="G235" s="75"/>
      <c r="H235" s="59" t="str">
        <f t="shared" si="25"/>
        <v/>
      </c>
      <c r="I235" s="64"/>
      <c r="J235" s="64"/>
      <c r="K235" s="64"/>
      <c r="M235" t="str">
        <f t="shared" si="26"/>
        <v/>
      </c>
      <c r="N235" t="str">
        <f t="shared" si="27"/>
        <v/>
      </c>
    </row>
    <row r="236" spans="1:14">
      <c r="A236" s="59" t="str">
        <f>IF(C236="","",VLOOKUP('Opći dio'!$C$3,'Opći dio'!$L$6:$U$135,10,0))</f>
        <v/>
      </c>
      <c r="B236" s="59" t="str">
        <f>IF(C236="","",VLOOKUP('Opći dio'!$C$3,'Opći dio'!$L$6:$U$135,9,0))</f>
        <v/>
      </c>
      <c r="C236" s="74"/>
      <c r="D236" s="59" t="str">
        <f t="shared" si="23"/>
        <v/>
      </c>
      <c r="E236" s="74"/>
      <c r="F236" s="59" t="str">
        <f t="shared" si="24"/>
        <v/>
      </c>
      <c r="G236" s="75"/>
      <c r="H236" s="59" t="str">
        <f t="shared" si="25"/>
        <v/>
      </c>
      <c r="I236" s="64"/>
      <c r="J236" s="64"/>
      <c r="K236" s="64"/>
      <c r="M236" t="str">
        <f t="shared" si="26"/>
        <v/>
      </c>
      <c r="N236" t="str">
        <f t="shared" si="27"/>
        <v/>
      </c>
    </row>
    <row r="237" spans="1:14">
      <c r="A237" s="59" t="str">
        <f>IF(C237="","",VLOOKUP('Opći dio'!$C$3,'Opći dio'!$L$6:$U$135,10,0))</f>
        <v/>
      </c>
      <c r="B237" s="59" t="str">
        <f>IF(C237="","",VLOOKUP('Opći dio'!$C$3,'Opći dio'!$L$6:$U$135,9,0))</f>
        <v/>
      </c>
      <c r="C237" s="74"/>
      <c r="D237" s="59" t="str">
        <f t="shared" si="23"/>
        <v/>
      </c>
      <c r="E237" s="74"/>
      <c r="F237" s="59" t="str">
        <f t="shared" si="24"/>
        <v/>
      </c>
      <c r="G237" s="75"/>
      <c r="H237" s="59" t="str">
        <f t="shared" si="25"/>
        <v/>
      </c>
      <c r="I237" s="64"/>
      <c r="J237" s="64"/>
      <c r="K237" s="64"/>
      <c r="M237" t="str">
        <f t="shared" si="26"/>
        <v/>
      </c>
      <c r="N237" t="str">
        <f t="shared" si="27"/>
        <v/>
      </c>
    </row>
    <row r="238" spans="1:14">
      <c r="A238" s="59" t="str">
        <f>IF(C238="","",VLOOKUP('Opći dio'!$C$3,'Opći dio'!$L$6:$U$135,10,0))</f>
        <v/>
      </c>
      <c r="B238" s="59" t="str">
        <f>IF(C238="","",VLOOKUP('Opći dio'!$C$3,'Opći dio'!$L$6:$U$135,9,0))</f>
        <v/>
      </c>
      <c r="C238" s="74"/>
      <c r="D238" s="59" t="str">
        <f t="shared" si="23"/>
        <v/>
      </c>
      <c r="E238" s="74"/>
      <c r="F238" s="59" t="str">
        <f t="shared" si="24"/>
        <v/>
      </c>
      <c r="G238" s="75"/>
      <c r="H238" s="59" t="str">
        <f t="shared" si="25"/>
        <v/>
      </c>
      <c r="I238" s="64"/>
      <c r="J238" s="64"/>
      <c r="K238" s="64"/>
      <c r="M238" t="str">
        <f t="shared" si="26"/>
        <v/>
      </c>
      <c r="N238" t="str">
        <f t="shared" si="27"/>
        <v/>
      </c>
    </row>
    <row r="239" spans="1:14">
      <c r="A239" s="59" t="str">
        <f>IF(C239="","",VLOOKUP('Opći dio'!$C$3,'Opći dio'!$L$6:$U$135,10,0))</f>
        <v/>
      </c>
      <c r="B239" s="59" t="str">
        <f>IF(C239="","",VLOOKUP('Opći dio'!$C$3,'Opći dio'!$L$6:$U$135,9,0))</f>
        <v/>
      </c>
      <c r="C239" s="74"/>
      <c r="D239" s="59" t="str">
        <f t="shared" si="23"/>
        <v/>
      </c>
      <c r="E239" s="74"/>
      <c r="F239" s="59" t="str">
        <f t="shared" si="24"/>
        <v/>
      </c>
      <c r="G239" s="75"/>
      <c r="H239" s="59" t="str">
        <f t="shared" si="25"/>
        <v/>
      </c>
      <c r="I239" s="64"/>
      <c r="J239" s="64"/>
      <c r="K239" s="64"/>
      <c r="M239" t="str">
        <f t="shared" si="26"/>
        <v/>
      </c>
      <c r="N239" t="str">
        <f t="shared" si="27"/>
        <v/>
      </c>
    </row>
    <row r="240" spans="1:14">
      <c r="A240" s="59" t="str">
        <f>IF(C240="","",VLOOKUP('Opći dio'!$C$3,'Opći dio'!$L$6:$U$135,10,0))</f>
        <v/>
      </c>
      <c r="B240" s="59" t="str">
        <f>IF(C240="","",VLOOKUP('Opći dio'!$C$3,'Opći dio'!$L$6:$U$135,9,0))</f>
        <v/>
      </c>
      <c r="C240" s="74"/>
      <c r="D240" s="59" t="str">
        <f t="shared" si="23"/>
        <v/>
      </c>
      <c r="E240" s="74"/>
      <c r="F240" s="59" t="str">
        <f t="shared" si="24"/>
        <v/>
      </c>
      <c r="G240" s="75"/>
      <c r="H240" s="59" t="str">
        <f t="shared" si="25"/>
        <v/>
      </c>
      <c r="I240" s="64"/>
      <c r="J240" s="64"/>
      <c r="K240" s="64"/>
      <c r="M240" t="str">
        <f t="shared" si="26"/>
        <v/>
      </c>
      <c r="N240" t="str">
        <f t="shared" si="27"/>
        <v/>
      </c>
    </row>
    <row r="241" spans="1:14">
      <c r="A241" s="59" t="str">
        <f>IF(C241="","",VLOOKUP('Opći dio'!$C$3,'Opći dio'!$L$6:$U$135,10,0))</f>
        <v/>
      </c>
      <c r="B241" s="59" t="str">
        <f>IF(C241="","",VLOOKUP('Opći dio'!$C$3,'Opći dio'!$L$6:$U$135,9,0))</f>
        <v/>
      </c>
      <c r="C241" s="74"/>
      <c r="D241" s="59" t="str">
        <f t="shared" si="23"/>
        <v/>
      </c>
      <c r="E241" s="74"/>
      <c r="F241" s="59" t="str">
        <f t="shared" si="24"/>
        <v/>
      </c>
      <c r="G241" s="75"/>
      <c r="H241" s="59" t="str">
        <f t="shared" si="25"/>
        <v/>
      </c>
      <c r="I241" s="64"/>
      <c r="J241" s="64"/>
      <c r="K241" s="64"/>
      <c r="M241" t="str">
        <f t="shared" si="26"/>
        <v/>
      </c>
      <c r="N241" t="str">
        <f t="shared" si="27"/>
        <v/>
      </c>
    </row>
    <row r="242" spans="1:14">
      <c r="A242" s="59" t="str">
        <f>IF(C242="","",VLOOKUP('Opći dio'!$C$3,'Opći dio'!$L$6:$U$135,10,0))</f>
        <v/>
      </c>
      <c r="B242" s="59" t="str">
        <f>IF(C242="","",VLOOKUP('Opći dio'!$C$3,'Opći dio'!$L$6:$U$135,9,0))</f>
        <v/>
      </c>
      <c r="C242" s="74"/>
      <c r="D242" s="59" t="str">
        <f t="shared" si="23"/>
        <v/>
      </c>
      <c r="E242" s="74"/>
      <c r="F242" s="59" t="str">
        <f t="shared" si="24"/>
        <v/>
      </c>
      <c r="G242" s="75"/>
      <c r="H242" s="59" t="str">
        <f t="shared" si="25"/>
        <v/>
      </c>
      <c r="I242" s="64"/>
      <c r="J242" s="64"/>
      <c r="K242" s="64"/>
      <c r="M242" t="str">
        <f t="shared" si="26"/>
        <v/>
      </c>
      <c r="N242" t="str">
        <f t="shared" si="27"/>
        <v/>
      </c>
    </row>
    <row r="243" spans="1:14">
      <c r="A243" s="59" t="str">
        <f>IF(C243="","",VLOOKUP('Opći dio'!$C$3,'Opći dio'!$L$6:$U$135,10,0))</f>
        <v/>
      </c>
      <c r="B243" s="59" t="str">
        <f>IF(C243="","",VLOOKUP('Opći dio'!$C$3,'Opći dio'!$L$6:$U$135,9,0))</f>
        <v/>
      </c>
      <c r="C243" s="74"/>
      <c r="D243" s="59" t="str">
        <f t="shared" si="23"/>
        <v/>
      </c>
      <c r="E243" s="74"/>
      <c r="F243" s="59" t="str">
        <f t="shared" si="24"/>
        <v/>
      </c>
      <c r="G243" s="75"/>
      <c r="H243" s="59" t="str">
        <f t="shared" si="25"/>
        <v/>
      </c>
      <c r="I243" s="64"/>
      <c r="J243" s="64"/>
      <c r="K243" s="64"/>
      <c r="M243" t="str">
        <f t="shared" si="26"/>
        <v/>
      </c>
      <c r="N243" t="str">
        <f t="shared" si="27"/>
        <v/>
      </c>
    </row>
    <row r="244" spans="1:14">
      <c r="A244" s="59" t="str">
        <f>IF(C244="","",VLOOKUP('Opći dio'!$C$3,'Opći dio'!$L$6:$U$135,10,0))</f>
        <v/>
      </c>
      <c r="B244" s="59" t="str">
        <f>IF(C244="","",VLOOKUP('Opći dio'!$C$3,'Opći dio'!$L$6:$U$135,9,0))</f>
        <v/>
      </c>
      <c r="C244" s="74"/>
      <c r="D244" s="59" t="str">
        <f t="shared" si="23"/>
        <v/>
      </c>
      <c r="E244" s="74"/>
      <c r="F244" s="59" t="str">
        <f t="shared" si="24"/>
        <v/>
      </c>
      <c r="G244" s="75"/>
      <c r="H244" s="59" t="str">
        <f t="shared" si="25"/>
        <v/>
      </c>
      <c r="I244" s="64"/>
      <c r="J244" s="64"/>
      <c r="K244" s="64"/>
      <c r="M244" t="str">
        <f t="shared" si="26"/>
        <v/>
      </c>
      <c r="N244" t="str">
        <f t="shared" si="27"/>
        <v/>
      </c>
    </row>
    <row r="245" spans="1:14">
      <c r="A245" s="59" t="str">
        <f>IF(C245="","",VLOOKUP('Opći dio'!$C$3,'Opći dio'!$L$6:$U$135,10,0))</f>
        <v/>
      </c>
      <c r="B245" s="59" t="str">
        <f>IF(C245="","",VLOOKUP('Opći dio'!$C$3,'Opći dio'!$L$6:$U$135,9,0))</f>
        <v/>
      </c>
      <c r="C245" s="74"/>
      <c r="D245" s="59" t="str">
        <f t="shared" si="23"/>
        <v/>
      </c>
      <c r="E245" s="74"/>
      <c r="F245" s="59" t="str">
        <f t="shared" si="24"/>
        <v/>
      </c>
      <c r="G245" s="75"/>
      <c r="H245" s="59" t="str">
        <f t="shared" si="25"/>
        <v/>
      </c>
      <c r="I245" s="64"/>
      <c r="J245" s="64"/>
      <c r="K245" s="64"/>
      <c r="M245" t="str">
        <f t="shared" si="26"/>
        <v/>
      </c>
      <c r="N245" t="str">
        <f t="shared" si="27"/>
        <v/>
      </c>
    </row>
    <row r="246" spans="1:14">
      <c r="A246" s="59" t="str">
        <f>IF(C246="","",VLOOKUP('Opći dio'!$C$3,'Opći dio'!$L$6:$U$135,10,0))</f>
        <v/>
      </c>
      <c r="B246" s="59" t="str">
        <f>IF(C246="","",VLOOKUP('Opći dio'!$C$3,'Opći dio'!$L$6:$U$135,9,0))</f>
        <v/>
      </c>
      <c r="C246" s="74"/>
      <c r="D246" s="59" t="str">
        <f t="shared" si="23"/>
        <v/>
      </c>
      <c r="E246" s="74"/>
      <c r="F246" s="59" t="str">
        <f t="shared" si="24"/>
        <v/>
      </c>
      <c r="G246" s="75"/>
      <c r="H246" s="59" t="str">
        <f t="shared" si="25"/>
        <v/>
      </c>
      <c r="I246" s="64"/>
      <c r="J246" s="64"/>
      <c r="K246" s="64"/>
      <c r="M246" t="str">
        <f t="shared" si="26"/>
        <v/>
      </c>
      <c r="N246" t="str">
        <f t="shared" si="27"/>
        <v/>
      </c>
    </row>
    <row r="247" spans="1:14">
      <c r="A247" s="59" t="str">
        <f>IF(C247="","",VLOOKUP('Opći dio'!$C$3,'Opći dio'!$L$6:$U$135,10,0))</f>
        <v/>
      </c>
      <c r="B247" s="59" t="str">
        <f>IF(C247="","",VLOOKUP('Opći dio'!$C$3,'Opći dio'!$L$6:$U$135,9,0))</f>
        <v/>
      </c>
      <c r="C247" s="74"/>
      <c r="D247" s="59" t="str">
        <f t="shared" si="23"/>
        <v/>
      </c>
      <c r="E247" s="74"/>
      <c r="F247" s="59" t="str">
        <f t="shared" si="24"/>
        <v/>
      </c>
      <c r="G247" s="75"/>
      <c r="H247" s="59" t="str">
        <f t="shared" si="25"/>
        <v/>
      </c>
      <c r="I247" s="64"/>
      <c r="J247" s="64"/>
      <c r="K247" s="64"/>
      <c r="M247" t="str">
        <f t="shared" si="26"/>
        <v/>
      </c>
      <c r="N247" t="str">
        <f t="shared" si="27"/>
        <v/>
      </c>
    </row>
    <row r="248" spans="1:14">
      <c r="A248" s="59" t="str">
        <f>IF(C248="","",VLOOKUP('Opći dio'!$C$3,'Opći dio'!$L$6:$U$135,10,0))</f>
        <v/>
      </c>
      <c r="B248" s="59" t="str">
        <f>IF(C248="","",VLOOKUP('Opći dio'!$C$3,'Opći dio'!$L$6:$U$135,9,0))</f>
        <v/>
      </c>
      <c r="C248" s="74"/>
      <c r="D248" s="59" t="str">
        <f t="shared" si="23"/>
        <v/>
      </c>
      <c r="E248" s="74"/>
      <c r="F248" s="59" t="str">
        <f t="shared" si="24"/>
        <v/>
      </c>
      <c r="G248" s="75"/>
      <c r="H248" s="59" t="str">
        <f t="shared" si="25"/>
        <v/>
      </c>
      <c r="I248" s="64"/>
      <c r="J248" s="64"/>
      <c r="K248" s="64"/>
      <c r="M248" t="str">
        <f t="shared" si="26"/>
        <v/>
      </c>
      <c r="N248" t="str">
        <f t="shared" si="27"/>
        <v/>
      </c>
    </row>
    <row r="249" spans="1:14">
      <c r="A249" s="59" t="str">
        <f>IF(C249="","",VLOOKUP('Opći dio'!$C$3,'Opći dio'!$L$6:$U$135,10,0))</f>
        <v/>
      </c>
      <c r="B249" s="59" t="str">
        <f>IF(C249="","",VLOOKUP('Opći dio'!$C$3,'Opći dio'!$L$6:$U$135,9,0))</f>
        <v/>
      </c>
      <c r="C249" s="74"/>
      <c r="D249" s="59" t="str">
        <f t="shared" si="23"/>
        <v/>
      </c>
      <c r="E249" s="74"/>
      <c r="F249" s="59" t="str">
        <f t="shared" si="24"/>
        <v/>
      </c>
      <c r="G249" s="75"/>
      <c r="H249" s="59" t="str">
        <f t="shared" si="25"/>
        <v/>
      </c>
      <c r="I249" s="64"/>
      <c r="J249" s="64"/>
      <c r="K249" s="64"/>
      <c r="M249" t="str">
        <f t="shared" si="26"/>
        <v/>
      </c>
      <c r="N249" t="str">
        <f t="shared" si="27"/>
        <v/>
      </c>
    </row>
    <row r="250" spans="1:14">
      <c r="A250" s="59" t="str">
        <f>IF(C250="","",VLOOKUP('Opći dio'!$C$3,'Opći dio'!$L$6:$U$135,10,0))</f>
        <v/>
      </c>
      <c r="B250" s="59" t="str">
        <f>IF(C250="","",VLOOKUP('Opći dio'!$C$3,'Opći dio'!$L$6:$U$135,9,0))</f>
        <v/>
      </c>
      <c r="C250" s="74"/>
      <c r="D250" s="59" t="str">
        <f t="shared" si="23"/>
        <v/>
      </c>
      <c r="E250" s="74"/>
      <c r="F250" s="59" t="str">
        <f t="shared" si="24"/>
        <v/>
      </c>
      <c r="G250" s="75"/>
      <c r="H250" s="59" t="str">
        <f t="shared" si="25"/>
        <v/>
      </c>
      <c r="I250" s="64"/>
      <c r="J250" s="64"/>
      <c r="K250" s="64"/>
      <c r="M250" t="str">
        <f t="shared" si="26"/>
        <v/>
      </c>
      <c r="N250" t="str">
        <f t="shared" si="27"/>
        <v/>
      </c>
    </row>
    <row r="251" spans="1:14">
      <c r="A251" s="59" t="str">
        <f>IF(C251="","",VLOOKUP('Opći dio'!$C$3,'Opći dio'!$L$6:$U$135,10,0))</f>
        <v/>
      </c>
      <c r="B251" s="59" t="str">
        <f>IF(C251="","",VLOOKUP('Opći dio'!$C$3,'Opći dio'!$L$6:$U$135,9,0))</f>
        <v/>
      </c>
      <c r="C251" s="74"/>
      <c r="D251" s="59" t="str">
        <f t="shared" si="23"/>
        <v/>
      </c>
      <c r="E251" s="74"/>
      <c r="F251" s="59" t="str">
        <f t="shared" si="24"/>
        <v/>
      </c>
      <c r="G251" s="75"/>
      <c r="H251" s="59" t="str">
        <f t="shared" si="25"/>
        <v/>
      </c>
      <c r="I251" s="64"/>
      <c r="J251" s="64"/>
      <c r="K251" s="64"/>
      <c r="M251" t="str">
        <f t="shared" si="26"/>
        <v/>
      </c>
      <c r="N251" t="str">
        <f t="shared" si="27"/>
        <v/>
      </c>
    </row>
    <row r="252" spans="1:14">
      <c r="A252" s="59" t="str">
        <f>IF(C252="","",VLOOKUP('Opći dio'!$C$3,'Opći dio'!$L$6:$U$135,10,0))</f>
        <v/>
      </c>
      <c r="B252" s="59" t="str">
        <f>IF(C252="","",VLOOKUP('Opći dio'!$C$3,'Opći dio'!$L$6:$U$135,9,0))</f>
        <v/>
      </c>
      <c r="C252" s="74"/>
      <c r="D252" s="59" t="str">
        <f t="shared" si="23"/>
        <v/>
      </c>
      <c r="E252" s="74"/>
      <c r="F252" s="59" t="str">
        <f t="shared" si="24"/>
        <v/>
      </c>
      <c r="G252" s="75"/>
      <c r="H252" s="59" t="str">
        <f t="shared" si="25"/>
        <v/>
      </c>
      <c r="I252" s="64"/>
      <c r="J252" s="64"/>
      <c r="K252" s="64"/>
      <c r="M252" t="str">
        <f t="shared" si="26"/>
        <v/>
      </c>
      <c r="N252" t="str">
        <f t="shared" si="27"/>
        <v/>
      </c>
    </row>
    <row r="253" spans="1:14">
      <c r="A253" s="59" t="str">
        <f>IF(C253="","",VLOOKUP('Opći dio'!$C$3,'Opći dio'!$L$6:$U$135,10,0))</f>
        <v/>
      </c>
      <c r="B253" s="59" t="str">
        <f>IF(C253="","",VLOOKUP('Opći dio'!$C$3,'Opći dio'!$L$6:$U$135,9,0))</f>
        <v/>
      </c>
      <c r="C253" s="74"/>
      <c r="D253" s="59" t="str">
        <f t="shared" si="23"/>
        <v/>
      </c>
      <c r="E253" s="74"/>
      <c r="F253" s="59" t="str">
        <f t="shared" si="24"/>
        <v/>
      </c>
      <c r="G253" s="75"/>
      <c r="H253" s="59" t="str">
        <f t="shared" si="25"/>
        <v/>
      </c>
      <c r="I253" s="64"/>
      <c r="J253" s="64"/>
      <c r="K253" s="64"/>
      <c r="M253" t="str">
        <f t="shared" si="26"/>
        <v/>
      </c>
      <c r="N253" t="str">
        <f t="shared" si="27"/>
        <v/>
      </c>
    </row>
    <row r="254" spans="1:14">
      <c r="A254" s="59" t="str">
        <f>IF(C254="","",VLOOKUP('Opći dio'!$C$3,'Opći dio'!$L$6:$U$135,10,0))</f>
        <v/>
      </c>
      <c r="B254" s="59" t="str">
        <f>IF(C254="","",VLOOKUP('Opći dio'!$C$3,'Opći dio'!$L$6:$U$135,9,0))</f>
        <v/>
      </c>
      <c r="C254" s="74"/>
      <c r="D254" s="59" t="str">
        <f t="shared" si="23"/>
        <v/>
      </c>
      <c r="E254" s="74"/>
      <c r="F254" s="59" t="str">
        <f t="shared" si="24"/>
        <v/>
      </c>
      <c r="G254" s="75"/>
      <c r="H254" s="59" t="str">
        <f t="shared" si="25"/>
        <v/>
      </c>
      <c r="I254" s="64"/>
      <c r="J254" s="64"/>
      <c r="K254" s="64"/>
      <c r="M254" t="str">
        <f t="shared" si="26"/>
        <v/>
      </c>
      <c r="N254" t="str">
        <f t="shared" si="27"/>
        <v/>
      </c>
    </row>
    <row r="255" spans="1:14">
      <c r="A255" s="59" t="str">
        <f>IF(C255="","",VLOOKUP('Opći dio'!$C$3,'Opći dio'!$L$6:$U$135,10,0))</f>
        <v/>
      </c>
      <c r="B255" s="59" t="str">
        <f>IF(C255="","",VLOOKUP('Opći dio'!$C$3,'Opći dio'!$L$6:$U$135,9,0))</f>
        <v/>
      </c>
      <c r="C255" s="74"/>
      <c r="D255" s="59" t="str">
        <f t="shared" si="23"/>
        <v/>
      </c>
      <c r="E255" s="74"/>
      <c r="F255" s="59" t="str">
        <f t="shared" si="24"/>
        <v/>
      </c>
      <c r="G255" s="75"/>
      <c r="H255" s="59" t="str">
        <f t="shared" si="25"/>
        <v/>
      </c>
      <c r="I255" s="64"/>
      <c r="J255" s="64"/>
      <c r="K255" s="64"/>
      <c r="M255" t="str">
        <f t="shared" si="26"/>
        <v/>
      </c>
      <c r="N255" t="str">
        <f t="shared" si="27"/>
        <v/>
      </c>
    </row>
    <row r="256" spans="1:14">
      <c r="A256" s="59" t="str">
        <f>IF(C256="","",VLOOKUP('Opći dio'!$C$3,'Opći dio'!$L$6:$U$135,10,0))</f>
        <v/>
      </c>
      <c r="B256" s="59" t="str">
        <f>IF(C256="","",VLOOKUP('Opći dio'!$C$3,'Opći dio'!$L$6:$U$135,9,0))</f>
        <v/>
      </c>
      <c r="C256" s="74"/>
      <c r="D256" s="59" t="str">
        <f t="shared" si="23"/>
        <v/>
      </c>
      <c r="E256" s="74"/>
      <c r="F256" s="59" t="str">
        <f t="shared" si="24"/>
        <v/>
      </c>
      <c r="G256" s="75"/>
      <c r="H256" s="59" t="str">
        <f t="shared" si="25"/>
        <v/>
      </c>
      <c r="I256" s="64"/>
      <c r="J256" s="64"/>
      <c r="K256" s="64"/>
      <c r="M256" t="str">
        <f t="shared" si="26"/>
        <v/>
      </c>
      <c r="N256" t="str">
        <f t="shared" si="27"/>
        <v/>
      </c>
    </row>
    <row r="257" spans="1:14">
      <c r="A257" s="59" t="str">
        <f>IF(C257="","",VLOOKUP('Opći dio'!$C$3,'Opći dio'!$L$6:$U$135,10,0))</f>
        <v/>
      </c>
      <c r="B257" s="59" t="str">
        <f>IF(C257="","",VLOOKUP('Opći dio'!$C$3,'Opći dio'!$L$6:$U$135,9,0))</f>
        <v/>
      </c>
      <c r="C257" s="74"/>
      <c r="D257" s="59" t="str">
        <f t="shared" si="23"/>
        <v/>
      </c>
      <c r="E257" s="74"/>
      <c r="F257" s="59" t="str">
        <f t="shared" si="24"/>
        <v/>
      </c>
      <c r="G257" s="75"/>
      <c r="H257" s="59" t="str">
        <f t="shared" si="25"/>
        <v/>
      </c>
      <c r="I257" s="64"/>
      <c r="J257" s="64"/>
      <c r="K257" s="64"/>
      <c r="M257" t="str">
        <f t="shared" si="26"/>
        <v/>
      </c>
      <c r="N257" t="str">
        <f t="shared" si="27"/>
        <v/>
      </c>
    </row>
    <row r="258" spans="1:14">
      <c r="A258" s="59" t="str">
        <f>IF(C258="","",VLOOKUP('Opći dio'!$C$3,'Opći dio'!$L$6:$U$135,10,0))</f>
        <v/>
      </c>
      <c r="B258" s="59" t="str">
        <f>IF(C258="","",VLOOKUP('Opći dio'!$C$3,'Opći dio'!$L$6:$U$135,9,0))</f>
        <v/>
      </c>
      <c r="C258" s="74"/>
      <c r="D258" s="59" t="str">
        <f t="shared" si="23"/>
        <v/>
      </c>
      <c r="E258" s="74"/>
      <c r="F258" s="59" t="str">
        <f t="shared" si="24"/>
        <v/>
      </c>
      <c r="G258" s="75"/>
      <c r="H258" s="59" t="str">
        <f t="shared" si="25"/>
        <v/>
      </c>
      <c r="I258" s="64"/>
      <c r="J258" s="64"/>
      <c r="K258" s="64"/>
      <c r="M258" t="str">
        <f t="shared" si="26"/>
        <v/>
      </c>
      <c r="N258" t="str">
        <f t="shared" si="27"/>
        <v/>
      </c>
    </row>
    <row r="259" spans="1:14">
      <c r="A259" s="59" t="str">
        <f>IF(C259="","",VLOOKUP('Opći dio'!$C$3,'Opći dio'!$L$6:$U$135,10,0))</f>
        <v/>
      </c>
      <c r="B259" s="59" t="str">
        <f>IF(C259="","",VLOOKUP('Opći dio'!$C$3,'Opći dio'!$L$6:$U$135,9,0))</f>
        <v/>
      </c>
      <c r="C259" s="74"/>
      <c r="D259" s="59" t="str">
        <f t="shared" ref="D259:D322" si="28">IFERROR(VLOOKUP(C259,$O$6:$P$16,2,0),"")</f>
        <v/>
      </c>
      <c r="E259" s="74"/>
      <c r="F259" s="59" t="str">
        <f t="shared" ref="F259:F322" si="29">IFERROR(VLOOKUP(E259,$R$5:$T$129,2,0),"")</f>
        <v/>
      </c>
      <c r="G259" s="75"/>
      <c r="H259" s="59" t="str">
        <f t="shared" ref="H259:H322" si="30">IFERROR(VLOOKUP(G259,$X$6:$Y$50,2,0),"")</f>
        <v/>
      </c>
      <c r="I259" s="64"/>
      <c r="J259" s="64"/>
      <c r="K259" s="64"/>
      <c r="M259" t="str">
        <f t="shared" ref="M259:M322" si="31">LEFT(E259,3)</f>
        <v/>
      </c>
      <c r="N259" t="str">
        <f t="shared" ref="N259:N322" si="32">LEFT(E259,2)</f>
        <v/>
      </c>
    </row>
    <row r="260" spans="1:14">
      <c r="A260" s="59" t="str">
        <f>IF(C260="","",VLOOKUP('Opći dio'!$C$3,'Opći dio'!$L$6:$U$135,10,0))</f>
        <v/>
      </c>
      <c r="B260" s="59" t="str">
        <f>IF(C260="","",VLOOKUP('Opći dio'!$C$3,'Opći dio'!$L$6:$U$135,9,0))</f>
        <v/>
      </c>
      <c r="C260" s="74"/>
      <c r="D260" s="59" t="str">
        <f t="shared" si="28"/>
        <v/>
      </c>
      <c r="E260" s="74"/>
      <c r="F260" s="59" t="str">
        <f t="shared" si="29"/>
        <v/>
      </c>
      <c r="G260" s="75"/>
      <c r="H260" s="59" t="str">
        <f t="shared" si="30"/>
        <v/>
      </c>
      <c r="I260" s="64"/>
      <c r="J260" s="64"/>
      <c r="K260" s="64"/>
      <c r="M260" t="str">
        <f t="shared" si="31"/>
        <v/>
      </c>
      <c r="N260" t="str">
        <f t="shared" si="32"/>
        <v/>
      </c>
    </row>
    <row r="261" spans="1:14">
      <c r="A261" s="59" t="str">
        <f>IF(C261="","",VLOOKUP('Opći dio'!$C$3,'Opći dio'!$L$6:$U$135,10,0))</f>
        <v/>
      </c>
      <c r="B261" s="59" t="str">
        <f>IF(C261="","",VLOOKUP('Opći dio'!$C$3,'Opći dio'!$L$6:$U$135,9,0))</f>
        <v/>
      </c>
      <c r="C261" s="74"/>
      <c r="D261" s="59" t="str">
        <f t="shared" si="28"/>
        <v/>
      </c>
      <c r="E261" s="74"/>
      <c r="F261" s="59" t="str">
        <f t="shared" si="29"/>
        <v/>
      </c>
      <c r="G261" s="75"/>
      <c r="H261" s="59" t="str">
        <f t="shared" si="30"/>
        <v/>
      </c>
      <c r="I261" s="64"/>
      <c r="J261" s="64"/>
      <c r="K261" s="64"/>
      <c r="M261" t="str">
        <f t="shared" si="31"/>
        <v/>
      </c>
      <c r="N261" t="str">
        <f t="shared" si="32"/>
        <v/>
      </c>
    </row>
    <row r="262" spans="1:14">
      <c r="A262" s="59" t="str">
        <f>IF(C262="","",VLOOKUP('Opći dio'!$C$3,'Opći dio'!$L$6:$U$135,10,0))</f>
        <v/>
      </c>
      <c r="B262" s="59" t="str">
        <f>IF(C262="","",VLOOKUP('Opći dio'!$C$3,'Opći dio'!$L$6:$U$135,9,0))</f>
        <v/>
      </c>
      <c r="C262" s="74"/>
      <c r="D262" s="59" t="str">
        <f t="shared" si="28"/>
        <v/>
      </c>
      <c r="E262" s="74"/>
      <c r="F262" s="59" t="str">
        <f t="shared" si="29"/>
        <v/>
      </c>
      <c r="G262" s="75"/>
      <c r="H262" s="59" t="str">
        <f t="shared" si="30"/>
        <v/>
      </c>
      <c r="I262" s="64"/>
      <c r="J262" s="64"/>
      <c r="K262" s="64"/>
      <c r="M262" t="str">
        <f t="shared" si="31"/>
        <v/>
      </c>
      <c r="N262" t="str">
        <f t="shared" si="32"/>
        <v/>
      </c>
    </row>
    <row r="263" spans="1:14">
      <c r="A263" s="59" t="str">
        <f>IF(C263="","",VLOOKUP('Opći dio'!$C$3,'Opći dio'!$L$6:$U$135,10,0))</f>
        <v/>
      </c>
      <c r="B263" s="59" t="str">
        <f>IF(C263="","",VLOOKUP('Opći dio'!$C$3,'Opći dio'!$L$6:$U$135,9,0))</f>
        <v/>
      </c>
      <c r="C263" s="74"/>
      <c r="D263" s="59" t="str">
        <f t="shared" si="28"/>
        <v/>
      </c>
      <c r="E263" s="74"/>
      <c r="F263" s="59" t="str">
        <f t="shared" si="29"/>
        <v/>
      </c>
      <c r="G263" s="75"/>
      <c r="H263" s="59" t="str">
        <f t="shared" si="30"/>
        <v/>
      </c>
      <c r="I263" s="64"/>
      <c r="J263" s="64"/>
      <c r="K263" s="64"/>
      <c r="M263" t="str">
        <f t="shared" si="31"/>
        <v/>
      </c>
      <c r="N263" t="str">
        <f t="shared" si="32"/>
        <v/>
      </c>
    </row>
    <row r="264" spans="1:14">
      <c r="A264" s="59" t="str">
        <f>IF(C264="","",VLOOKUP('Opći dio'!$C$3,'Opći dio'!$L$6:$U$135,10,0))</f>
        <v/>
      </c>
      <c r="B264" s="59" t="str">
        <f>IF(C264="","",VLOOKUP('Opći dio'!$C$3,'Opći dio'!$L$6:$U$135,9,0))</f>
        <v/>
      </c>
      <c r="C264" s="74"/>
      <c r="D264" s="59" t="str">
        <f t="shared" si="28"/>
        <v/>
      </c>
      <c r="E264" s="74"/>
      <c r="F264" s="59" t="str">
        <f t="shared" si="29"/>
        <v/>
      </c>
      <c r="G264" s="75"/>
      <c r="H264" s="59" t="str">
        <f t="shared" si="30"/>
        <v/>
      </c>
      <c r="I264" s="64"/>
      <c r="J264" s="64"/>
      <c r="K264" s="64"/>
      <c r="M264" t="str">
        <f t="shared" si="31"/>
        <v/>
      </c>
      <c r="N264" t="str">
        <f t="shared" si="32"/>
        <v/>
      </c>
    </row>
    <row r="265" spans="1:14">
      <c r="A265" s="59" t="str">
        <f>IF(C265="","",VLOOKUP('Opći dio'!$C$3,'Opći dio'!$L$6:$U$135,10,0))</f>
        <v/>
      </c>
      <c r="B265" s="59" t="str">
        <f>IF(C265="","",VLOOKUP('Opći dio'!$C$3,'Opći dio'!$L$6:$U$135,9,0))</f>
        <v/>
      </c>
      <c r="C265" s="74"/>
      <c r="D265" s="59" t="str">
        <f t="shared" si="28"/>
        <v/>
      </c>
      <c r="E265" s="74"/>
      <c r="F265" s="59" t="str">
        <f t="shared" si="29"/>
        <v/>
      </c>
      <c r="G265" s="75"/>
      <c r="H265" s="59" t="str">
        <f t="shared" si="30"/>
        <v/>
      </c>
      <c r="I265" s="64"/>
      <c r="J265" s="64"/>
      <c r="K265" s="64"/>
      <c r="M265" t="str">
        <f t="shared" si="31"/>
        <v/>
      </c>
      <c r="N265" t="str">
        <f t="shared" si="32"/>
        <v/>
      </c>
    </row>
    <row r="266" spans="1:14">
      <c r="A266" s="59" t="str">
        <f>IF(C266="","",VLOOKUP('Opći dio'!$C$3,'Opći dio'!$L$6:$U$135,10,0))</f>
        <v/>
      </c>
      <c r="B266" s="59" t="str">
        <f>IF(C266="","",VLOOKUP('Opći dio'!$C$3,'Opći dio'!$L$6:$U$135,9,0))</f>
        <v/>
      </c>
      <c r="C266" s="74"/>
      <c r="D266" s="59" t="str">
        <f t="shared" si="28"/>
        <v/>
      </c>
      <c r="E266" s="74"/>
      <c r="F266" s="59" t="str">
        <f t="shared" si="29"/>
        <v/>
      </c>
      <c r="G266" s="75"/>
      <c r="H266" s="59" t="str">
        <f t="shared" si="30"/>
        <v/>
      </c>
      <c r="I266" s="64"/>
      <c r="J266" s="64"/>
      <c r="K266" s="64"/>
      <c r="M266" t="str">
        <f t="shared" si="31"/>
        <v/>
      </c>
      <c r="N266" t="str">
        <f t="shared" si="32"/>
        <v/>
      </c>
    </row>
    <row r="267" spans="1:14">
      <c r="A267" s="59" t="str">
        <f>IF(C267="","",VLOOKUP('Opći dio'!$C$3,'Opći dio'!$L$6:$U$135,10,0))</f>
        <v/>
      </c>
      <c r="B267" s="59" t="str">
        <f>IF(C267="","",VLOOKUP('Opći dio'!$C$3,'Opći dio'!$L$6:$U$135,9,0))</f>
        <v/>
      </c>
      <c r="C267" s="74"/>
      <c r="D267" s="59" t="str">
        <f t="shared" si="28"/>
        <v/>
      </c>
      <c r="E267" s="74"/>
      <c r="F267" s="59" t="str">
        <f t="shared" si="29"/>
        <v/>
      </c>
      <c r="G267" s="75"/>
      <c r="H267" s="59" t="str">
        <f t="shared" si="30"/>
        <v/>
      </c>
      <c r="I267" s="64"/>
      <c r="J267" s="64"/>
      <c r="K267" s="64"/>
      <c r="M267" t="str">
        <f t="shared" si="31"/>
        <v/>
      </c>
      <c r="N267" t="str">
        <f t="shared" si="32"/>
        <v/>
      </c>
    </row>
    <row r="268" spans="1:14">
      <c r="A268" s="59" t="str">
        <f>IF(C268="","",VLOOKUP('Opći dio'!$C$3,'Opći dio'!$L$6:$U$135,10,0))</f>
        <v/>
      </c>
      <c r="B268" s="59" t="str">
        <f>IF(C268="","",VLOOKUP('Opći dio'!$C$3,'Opći dio'!$L$6:$U$135,9,0))</f>
        <v/>
      </c>
      <c r="C268" s="74"/>
      <c r="D268" s="59" t="str">
        <f t="shared" si="28"/>
        <v/>
      </c>
      <c r="E268" s="74"/>
      <c r="F268" s="59" t="str">
        <f t="shared" si="29"/>
        <v/>
      </c>
      <c r="G268" s="75"/>
      <c r="H268" s="59" t="str">
        <f t="shared" si="30"/>
        <v/>
      </c>
      <c r="I268" s="64"/>
      <c r="J268" s="64"/>
      <c r="K268" s="64"/>
      <c r="M268" t="str">
        <f t="shared" si="31"/>
        <v/>
      </c>
      <c r="N268" t="str">
        <f t="shared" si="32"/>
        <v/>
      </c>
    </row>
    <row r="269" spans="1:14">
      <c r="A269" s="59" t="str">
        <f>IF(C269="","",VLOOKUP('Opći dio'!$C$3,'Opći dio'!$L$6:$U$135,10,0))</f>
        <v/>
      </c>
      <c r="B269" s="59" t="str">
        <f>IF(C269="","",VLOOKUP('Opći dio'!$C$3,'Opći dio'!$L$6:$U$135,9,0))</f>
        <v/>
      </c>
      <c r="C269" s="74"/>
      <c r="D269" s="59" t="str">
        <f t="shared" si="28"/>
        <v/>
      </c>
      <c r="E269" s="74"/>
      <c r="F269" s="59" t="str">
        <f t="shared" si="29"/>
        <v/>
      </c>
      <c r="G269" s="75"/>
      <c r="H269" s="59" t="str">
        <f t="shared" si="30"/>
        <v/>
      </c>
      <c r="I269" s="64"/>
      <c r="J269" s="64"/>
      <c r="K269" s="64"/>
      <c r="M269" t="str">
        <f t="shared" si="31"/>
        <v/>
      </c>
      <c r="N269" t="str">
        <f t="shared" si="32"/>
        <v/>
      </c>
    </row>
    <row r="270" spans="1:14">
      <c r="A270" s="59" t="str">
        <f>IF(C270="","",VLOOKUP('Opći dio'!$C$3,'Opći dio'!$L$6:$U$135,10,0))</f>
        <v/>
      </c>
      <c r="B270" s="59" t="str">
        <f>IF(C270="","",VLOOKUP('Opći dio'!$C$3,'Opći dio'!$L$6:$U$135,9,0))</f>
        <v/>
      </c>
      <c r="C270" s="74"/>
      <c r="D270" s="59" t="str">
        <f t="shared" si="28"/>
        <v/>
      </c>
      <c r="E270" s="74"/>
      <c r="F270" s="59" t="str">
        <f t="shared" si="29"/>
        <v/>
      </c>
      <c r="G270" s="75"/>
      <c r="H270" s="59" t="str">
        <f t="shared" si="30"/>
        <v/>
      </c>
      <c r="I270" s="64"/>
      <c r="J270" s="64"/>
      <c r="K270" s="64"/>
      <c r="M270" t="str">
        <f t="shared" si="31"/>
        <v/>
      </c>
      <c r="N270" t="str">
        <f t="shared" si="32"/>
        <v/>
      </c>
    </row>
    <row r="271" spans="1:14">
      <c r="A271" s="59" t="str">
        <f>IF(C271="","",VLOOKUP('Opći dio'!$C$3,'Opći dio'!$L$6:$U$135,10,0))</f>
        <v/>
      </c>
      <c r="B271" s="59" t="str">
        <f>IF(C271="","",VLOOKUP('Opći dio'!$C$3,'Opći dio'!$L$6:$U$135,9,0))</f>
        <v/>
      </c>
      <c r="C271" s="74"/>
      <c r="D271" s="59" t="str">
        <f t="shared" si="28"/>
        <v/>
      </c>
      <c r="E271" s="74"/>
      <c r="F271" s="59" t="str">
        <f t="shared" si="29"/>
        <v/>
      </c>
      <c r="G271" s="75"/>
      <c r="H271" s="59" t="str">
        <f t="shared" si="30"/>
        <v/>
      </c>
      <c r="I271" s="64"/>
      <c r="J271" s="64"/>
      <c r="K271" s="64"/>
      <c r="M271" t="str">
        <f t="shared" si="31"/>
        <v/>
      </c>
      <c r="N271" t="str">
        <f t="shared" si="32"/>
        <v/>
      </c>
    </row>
    <row r="272" spans="1:14">
      <c r="A272" s="59" t="str">
        <f>IF(C272="","",VLOOKUP('Opći dio'!$C$3,'Opći dio'!$L$6:$U$135,10,0))</f>
        <v/>
      </c>
      <c r="B272" s="59" t="str">
        <f>IF(C272="","",VLOOKUP('Opći dio'!$C$3,'Opći dio'!$L$6:$U$135,9,0))</f>
        <v/>
      </c>
      <c r="C272" s="74"/>
      <c r="D272" s="59" t="str">
        <f t="shared" si="28"/>
        <v/>
      </c>
      <c r="E272" s="74"/>
      <c r="F272" s="59" t="str">
        <f t="shared" si="29"/>
        <v/>
      </c>
      <c r="G272" s="75"/>
      <c r="H272" s="59" t="str">
        <f t="shared" si="30"/>
        <v/>
      </c>
      <c r="I272" s="64"/>
      <c r="J272" s="64"/>
      <c r="K272" s="64"/>
      <c r="M272" t="str">
        <f t="shared" si="31"/>
        <v/>
      </c>
      <c r="N272" t="str">
        <f t="shared" si="32"/>
        <v/>
      </c>
    </row>
    <row r="273" spans="1:14">
      <c r="A273" s="59" t="str">
        <f>IF(C273="","",VLOOKUP('Opći dio'!$C$3,'Opći dio'!$L$6:$U$135,10,0))</f>
        <v/>
      </c>
      <c r="B273" s="59" t="str">
        <f>IF(C273="","",VLOOKUP('Opći dio'!$C$3,'Opći dio'!$L$6:$U$135,9,0))</f>
        <v/>
      </c>
      <c r="C273" s="74"/>
      <c r="D273" s="59" t="str">
        <f t="shared" si="28"/>
        <v/>
      </c>
      <c r="E273" s="74"/>
      <c r="F273" s="59" t="str">
        <f t="shared" si="29"/>
        <v/>
      </c>
      <c r="G273" s="75"/>
      <c r="H273" s="59" t="str">
        <f t="shared" si="30"/>
        <v/>
      </c>
      <c r="I273" s="64"/>
      <c r="J273" s="64"/>
      <c r="K273" s="64"/>
      <c r="M273" t="str">
        <f t="shared" si="31"/>
        <v/>
      </c>
      <c r="N273" t="str">
        <f t="shared" si="32"/>
        <v/>
      </c>
    </row>
    <row r="274" spans="1:14">
      <c r="A274" s="59" t="str">
        <f>IF(C274="","",VLOOKUP('Opći dio'!$C$3,'Opći dio'!$L$6:$U$135,10,0))</f>
        <v/>
      </c>
      <c r="B274" s="59" t="str">
        <f>IF(C274="","",VLOOKUP('Opći dio'!$C$3,'Opći dio'!$L$6:$U$135,9,0))</f>
        <v/>
      </c>
      <c r="C274" s="74"/>
      <c r="D274" s="59" t="str">
        <f t="shared" si="28"/>
        <v/>
      </c>
      <c r="E274" s="74"/>
      <c r="F274" s="59" t="str">
        <f t="shared" si="29"/>
        <v/>
      </c>
      <c r="G274" s="75"/>
      <c r="H274" s="59" t="str">
        <f t="shared" si="30"/>
        <v/>
      </c>
      <c r="I274" s="64"/>
      <c r="J274" s="64"/>
      <c r="K274" s="64"/>
      <c r="M274" t="str">
        <f t="shared" si="31"/>
        <v/>
      </c>
      <c r="N274" t="str">
        <f t="shared" si="32"/>
        <v/>
      </c>
    </row>
    <row r="275" spans="1:14">
      <c r="A275" s="59" t="str">
        <f>IF(C275="","",VLOOKUP('Opći dio'!$C$3,'Opći dio'!$L$6:$U$135,10,0))</f>
        <v/>
      </c>
      <c r="B275" s="59" t="str">
        <f>IF(C275="","",VLOOKUP('Opći dio'!$C$3,'Opći dio'!$L$6:$U$135,9,0))</f>
        <v/>
      </c>
      <c r="C275" s="74"/>
      <c r="D275" s="59" t="str">
        <f t="shared" si="28"/>
        <v/>
      </c>
      <c r="E275" s="74"/>
      <c r="F275" s="59" t="str">
        <f t="shared" si="29"/>
        <v/>
      </c>
      <c r="G275" s="75"/>
      <c r="H275" s="59" t="str">
        <f t="shared" si="30"/>
        <v/>
      </c>
      <c r="I275" s="64"/>
      <c r="J275" s="64"/>
      <c r="K275" s="64"/>
      <c r="M275" t="str">
        <f t="shared" si="31"/>
        <v/>
      </c>
      <c r="N275" t="str">
        <f t="shared" si="32"/>
        <v/>
      </c>
    </row>
    <row r="276" spans="1:14">
      <c r="A276" s="59" t="str">
        <f>IF(C276="","",VLOOKUP('Opći dio'!$C$3,'Opći dio'!$L$6:$U$135,10,0))</f>
        <v/>
      </c>
      <c r="B276" s="59" t="str">
        <f>IF(C276="","",VLOOKUP('Opći dio'!$C$3,'Opći dio'!$L$6:$U$135,9,0))</f>
        <v/>
      </c>
      <c r="C276" s="74"/>
      <c r="D276" s="59" t="str">
        <f t="shared" si="28"/>
        <v/>
      </c>
      <c r="E276" s="74"/>
      <c r="F276" s="59" t="str">
        <f t="shared" si="29"/>
        <v/>
      </c>
      <c r="G276" s="75"/>
      <c r="H276" s="59" t="str">
        <f t="shared" si="30"/>
        <v/>
      </c>
      <c r="I276" s="64"/>
      <c r="J276" s="64"/>
      <c r="K276" s="64"/>
      <c r="M276" t="str">
        <f t="shared" si="31"/>
        <v/>
      </c>
      <c r="N276" t="str">
        <f t="shared" si="32"/>
        <v/>
      </c>
    </row>
    <row r="277" spans="1:14">
      <c r="A277" s="59" t="str">
        <f>IF(C277="","",VLOOKUP('Opći dio'!$C$3,'Opći dio'!$L$6:$U$135,10,0))</f>
        <v/>
      </c>
      <c r="B277" s="59" t="str">
        <f>IF(C277="","",VLOOKUP('Opći dio'!$C$3,'Opći dio'!$L$6:$U$135,9,0))</f>
        <v/>
      </c>
      <c r="C277" s="74"/>
      <c r="D277" s="59" t="str">
        <f t="shared" si="28"/>
        <v/>
      </c>
      <c r="E277" s="74"/>
      <c r="F277" s="59" t="str">
        <f t="shared" si="29"/>
        <v/>
      </c>
      <c r="G277" s="75"/>
      <c r="H277" s="59" t="str">
        <f t="shared" si="30"/>
        <v/>
      </c>
      <c r="I277" s="64"/>
      <c r="J277" s="64"/>
      <c r="K277" s="64"/>
      <c r="M277" t="str">
        <f t="shared" si="31"/>
        <v/>
      </c>
      <c r="N277" t="str">
        <f t="shared" si="32"/>
        <v/>
      </c>
    </row>
    <row r="278" spans="1:14">
      <c r="A278" s="59" t="str">
        <f>IF(C278="","",VLOOKUP('Opći dio'!$C$3,'Opći dio'!$L$6:$U$135,10,0))</f>
        <v/>
      </c>
      <c r="B278" s="59" t="str">
        <f>IF(C278="","",VLOOKUP('Opći dio'!$C$3,'Opći dio'!$L$6:$U$135,9,0))</f>
        <v/>
      </c>
      <c r="C278" s="74"/>
      <c r="D278" s="59" t="str">
        <f t="shared" si="28"/>
        <v/>
      </c>
      <c r="E278" s="74"/>
      <c r="F278" s="59" t="str">
        <f t="shared" si="29"/>
        <v/>
      </c>
      <c r="G278" s="75"/>
      <c r="H278" s="59" t="str">
        <f t="shared" si="30"/>
        <v/>
      </c>
      <c r="I278" s="64"/>
      <c r="J278" s="64"/>
      <c r="K278" s="64"/>
      <c r="M278" t="str">
        <f t="shared" si="31"/>
        <v/>
      </c>
      <c r="N278" t="str">
        <f t="shared" si="32"/>
        <v/>
      </c>
    </row>
    <row r="279" spans="1:14">
      <c r="A279" s="59" t="str">
        <f>IF(C279="","",VLOOKUP('Opći dio'!$C$3,'Opći dio'!$L$6:$U$135,10,0))</f>
        <v/>
      </c>
      <c r="B279" s="59" t="str">
        <f>IF(C279="","",VLOOKUP('Opći dio'!$C$3,'Opći dio'!$L$6:$U$135,9,0))</f>
        <v/>
      </c>
      <c r="C279" s="74"/>
      <c r="D279" s="59" t="str">
        <f t="shared" si="28"/>
        <v/>
      </c>
      <c r="E279" s="74"/>
      <c r="F279" s="59" t="str">
        <f t="shared" si="29"/>
        <v/>
      </c>
      <c r="G279" s="75"/>
      <c r="H279" s="59" t="str">
        <f t="shared" si="30"/>
        <v/>
      </c>
      <c r="I279" s="64"/>
      <c r="J279" s="64"/>
      <c r="K279" s="64"/>
      <c r="M279" t="str">
        <f t="shared" si="31"/>
        <v/>
      </c>
      <c r="N279" t="str">
        <f t="shared" si="32"/>
        <v/>
      </c>
    </row>
    <row r="280" spans="1:14">
      <c r="A280" s="59" t="str">
        <f>IF(C280="","",VLOOKUP('Opći dio'!$C$3,'Opći dio'!$L$6:$U$135,10,0))</f>
        <v/>
      </c>
      <c r="B280" s="59" t="str">
        <f>IF(C280="","",VLOOKUP('Opći dio'!$C$3,'Opći dio'!$L$6:$U$135,9,0))</f>
        <v/>
      </c>
      <c r="C280" s="74"/>
      <c r="D280" s="59" t="str">
        <f t="shared" si="28"/>
        <v/>
      </c>
      <c r="E280" s="74"/>
      <c r="F280" s="59" t="str">
        <f t="shared" si="29"/>
        <v/>
      </c>
      <c r="G280" s="75"/>
      <c r="H280" s="59" t="str">
        <f t="shared" si="30"/>
        <v/>
      </c>
      <c r="I280" s="64"/>
      <c r="J280" s="64"/>
      <c r="K280" s="64"/>
      <c r="M280" t="str">
        <f t="shared" si="31"/>
        <v/>
      </c>
      <c r="N280" t="str">
        <f t="shared" si="32"/>
        <v/>
      </c>
    </row>
    <row r="281" spans="1:14">
      <c r="A281" s="59" t="str">
        <f>IF(C281="","",VLOOKUP('Opći dio'!$C$3,'Opći dio'!$L$6:$U$135,10,0))</f>
        <v/>
      </c>
      <c r="B281" s="59" t="str">
        <f>IF(C281="","",VLOOKUP('Opći dio'!$C$3,'Opći dio'!$L$6:$U$135,9,0))</f>
        <v/>
      </c>
      <c r="C281" s="74"/>
      <c r="D281" s="59" t="str">
        <f t="shared" si="28"/>
        <v/>
      </c>
      <c r="E281" s="74"/>
      <c r="F281" s="59" t="str">
        <f t="shared" si="29"/>
        <v/>
      </c>
      <c r="G281" s="75"/>
      <c r="H281" s="59" t="str">
        <f t="shared" si="30"/>
        <v/>
      </c>
      <c r="I281" s="64"/>
      <c r="J281" s="64"/>
      <c r="K281" s="64"/>
      <c r="M281" t="str">
        <f t="shared" si="31"/>
        <v/>
      </c>
      <c r="N281" t="str">
        <f t="shared" si="32"/>
        <v/>
      </c>
    </row>
    <row r="282" spans="1:14">
      <c r="A282" s="59" t="str">
        <f>IF(C282="","",VLOOKUP('Opći dio'!$C$3,'Opći dio'!$L$6:$U$135,10,0))</f>
        <v/>
      </c>
      <c r="B282" s="59" t="str">
        <f>IF(C282="","",VLOOKUP('Opći dio'!$C$3,'Opći dio'!$L$6:$U$135,9,0))</f>
        <v/>
      </c>
      <c r="C282" s="74"/>
      <c r="D282" s="59" t="str">
        <f t="shared" si="28"/>
        <v/>
      </c>
      <c r="E282" s="74"/>
      <c r="F282" s="59" t="str">
        <f t="shared" si="29"/>
        <v/>
      </c>
      <c r="G282" s="75"/>
      <c r="H282" s="59" t="str">
        <f t="shared" si="30"/>
        <v/>
      </c>
      <c r="I282" s="64"/>
      <c r="J282" s="64"/>
      <c r="K282" s="64"/>
      <c r="M282" t="str">
        <f t="shared" si="31"/>
        <v/>
      </c>
      <c r="N282" t="str">
        <f t="shared" si="32"/>
        <v/>
      </c>
    </row>
    <row r="283" spans="1:14">
      <c r="A283" s="59" t="str">
        <f>IF(C283="","",VLOOKUP('Opći dio'!$C$3,'Opći dio'!$L$6:$U$135,10,0))</f>
        <v/>
      </c>
      <c r="B283" s="59" t="str">
        <f>IF(C283="","",VLOOKUP('Opći dio'!$C$3,'Opći dio'!$L$6:$U$135,9,0))</f>
        <v/>
      </c>
      <c r="C283" s="74"/>
      <c r="D283" s="59" t="str">
        <f t="shared" si="28"/>
        <v/>
      </c>
      <c r="E283" s="74"/>
      <c r="F283" s="59" t="str">
        <f t="shared" si="29"/>
        <v/>
      </c>
      <c r="G283" s="75"/>
      <c r="H283" s="59" t="str">
        <f t="shared" si="30"/>
        <v/>
      </c>
      <c r="I283" s="64"/>
      <c r="J283" s="64"/>
      <c r="K283" s="64"/>
      <c r="M283" t="str">
        <f t="shared" si="31"/>
        <v/>
      </c>
      <c r="N283" t="str">
        <f t="shared" si="32"/>
        <v/>
      </c>
    </row>
    <row r="284" spans="1:14">
      <c r="A284" s="59" t="str">
        <f>IF(C284="","",VLOOKUP('Opći dio'!$C$3,'Opći dio'!$L$6:$U$135,10,0))</f>
        <v/>
      </c>
      <c r="B284" s="59" t="str">
        <f>IF(C284="","",VLOOKUP('Opći dio'!$C$3,'Opći dio'!$L$6:$U$135,9,0))</f>
        <v/>
      </c>
      <c r="C284" s="74"/>
      <c r="D284" s="59" t="str">
        <f t="shared" si="28"/>
        <v/>
      </c>
      <c r="E284" s="74"/>
      <c r="F284" s="59" t="str">
        <f t="shared" si="29"/>
        <v/>
      </c>
      <c r="G284" s="75"/>
      <c r="H284" s="59" t="str">
        <f t="shared" si="30"/>
        <v/>
      </c>
      <c r="I284" s="64"/>
      <c r="J284" s="64"/>
      <c r="K284" s="64"/>
      <c r="M284" t="str">
        <f t="shared" si="31"/>
        <v/>
      </c>
      <c r="N284" t="str">
        <f t="shared" si="32"/>
        <v/>
      </c>
    </row>
    <row r="285" spans="1:14">
      <c r="A285" s="59" t="str">
        <f>IF(C285="","",VLOOKUP('Opći dio'!$C$3,'Opći dio'!$L$6:$U$135,10,0))</f>
        <v/>
      </c>
      <c r="B285" s="59" t="str">
        <f>IF(C285="","",VLOOKUP('Opći dio'!$C$3,'Opći dio'!$L$6:$U$135,9,0))</f>
        <v/>
      </c>
      <c r="C285" s="74"/>
      <c r="D285" s="59" t="str">
        <f t="shared" si="28"/>
        <v/>
      </c>
      <c r="E285" s="74"/>
      <c r="F285" s="59" t="str">
        <f t="shared" si="29"/>
        <v/>
      </c>
      <c r="G285" s="75"/>
      <c r="H285" s="59" t="str">
        <f t="shared" si="30"/>
        <v/>
      </c>
      <c r="I285" s="64"/>
      <c r="J285" s="64"/>
      <c r="K285" s="64"/>
      <c r="M285" t="str">
        <f t="shared" si="31"/>
        <v/>
      </c>
      <c r="N285" t="str">
        <f t="shared" si="32"/>
        <v/>
      </c>
    </row>
    <row r="286" spans="1:14">
      <c r="A286" s="59" t="str">
        <f>IF(C286="","",VLOOKUP('Opći dio'!$C$3,'Opći dio'!$L$6:$U$135,10,0))</f>
        <v/>
      </c>
      <c r="B286" s="59" t="str">
        <f>IF(C286="","",VLOOKUP('Opći dio'!$C$3,'Opći dio'!$L$6:$U$135,9,0))</f>
        <v/>
      </c>
      <c r="C286" s="74"/>
      <c r="D286" s="59" t="str">
        <f t="shared" si="28"/>
        <v/>
      </c>
      <c r="E286" s="74"/>
      <c r="F286" s="59" t="str">
        <f t="shared" si="29"/>
        <v/>
      </c>
      <c r="G286" s="75"/>
      <c r="H286" s="59" t="str">
        <f t="shared" si="30"/>
        <v/>
      </c>
      <c r="I286" s="64"/>
      <c r="J286" s="64"/>
      <c r="K286" s="64"/>
      <c r="M286" t="str">
        <f t="shared" si="31"/>
        <v/>
      </c>
      <c r="N286" t="str">
        <f t="shared" si="32"/>
        <v/>
      </c>
    </row>
    <row r="287" spans="1:14">
      <c r="A287" s="59" t="str">
        <f>IF(C287="","",VLOOKUP('Opći dio'!$C$3,'Opći dio'!$L$6:$U$135,10,0))</f>
        <v/>
      </c>
      <c r="B287" s="59" t="str">
        <f>IF(C287="","",VLOOKUP('Opći dio'!$C$3,'Opći dio'!$L$6:$U$135,9,0))</f>
        <v/>
      </c>
      <c r="C287" s="74"/>
      <c r="D287" s="59" t="str">
        <f t="shared" si="28"/>
        <v/>
      </c>
      <c r="E287" s="74"/>
      <c r="F287" s="59" t="str">
        <f t="shared" si="29"/>
        <v/>
      </c>
      <c r="G287" s="75"/>
      <c r="H287" s="59" t="str">
        <f t="shared" si="30"/>
        <v/>
      </c>
      <c r="I287" s="64"/>
      <c r="J287" s="64"/>
      <c r="K287" s="64"/>
      <c r="M287" t="str">
        <f t="shared" si="31"/>
        <v/>
      </c>
      <c r="N287" t="str">
        <f t="shared" si="32"/>
        <v/>
      </c>
    </row>
    <row r="288" spans="1:14">
      <c r="A288" s="59" t="str">
        <f>IF(C288="","",VLOOKUP('Opći dio'!$C$3,'Opći dio'!$L$6:$U$135,10,0))</f>
        <v/>
      </c>
      <c r="B288" s="59" t="str">
        <f>IF(C288="","",VLOOKUP('Opći dio'!$C$3,'Opći dio'!$L$6:$U$135,9,0))</f>
        <v/>
      </c>
      <c r="C288" s="74"/>
      <c r="D288" s="59" t="str">
        <f t="shared" si="28"/>
        <v/>
      </c>
      <c r="E288" s="74"/>
      <c r="F288" s="59" t="str">
        <f t="shared" si="29"/>
        <v/>
      </c>
      <c r="G288" s="75"/>
      <c r="H288" s="59" t="str">
        <f t="shared" si="30"/>
        <v/>
      </c>
      <c r="I288" s="64"/>
      <c r="J288" s="64"/>
      <c r="K288" s="64"/>
      <c r="M288" t="str">
        <f t="shared" si="31"/>
        <v/>
      </c>
      <c r="N288" t="str">
        <f t="shared" si="32"/>
        <v/>
      </c>
    </row>
    <row r="289" spans="1:14">
      <c r="A289" s="59" t="str">
        <f>IF(C289="","",VLOOKUP('Opći dio'!$C$3,'Opći dio'!$L$6:$U$135,10,0))</f>
        <v/>
      </c>
      <c r="B289" s="59" t="str">
        <f>IF(C289="","",VLOOKUP('Opći dio'!$C$3,'Opći dio'!$L$6:$U$135,9,0))</f>
        <v/>
      </c>
      <c r="C289" s="74"/>
      <c r="D289" s="59" t="str">
        <f t="shared" si="28"/>
        <v/>
      </c>
      <c r="E289" s="74"/>
      <c r="F289" s="59" t="str">
        <f t="shared" si="29"/>
        <v/>
      </c>
      <c r="G289" s="75"/>
      <c r="H289" s="59" t="str">
        <f t="shared" si="30"/>
        <v/>
      </c>
      <c r="I289" s="64"/>
      <c r="J289" s="64"/>
      <c r="K289" s="64"/>
      <c r="M289" t="str">
        <f t="shared" si="31"/>
        <v/>
      </c>
      <c r="N289" t="str">
        <f t="shared" si="32"/>
        <v/>
      </c>
    </row>
    <row r="290" spans="1:14">
      <c r="A290" s="59" t="str">
        <f>IF(C290="","",VLOOKUP('Opći dio'!$C$3,'Opći dio'!$L$6:$U$135,10,0))</f>
        <v/>
      </c>
      <c r="B290" s="59" t="str">
        <f>IF(C290="","",VLOOKUP('Opći dio'!$C$3,'Opći dio'!$L$6:$U$135,9,0))</f>
        <v/>
      </c>
      <c r="C290" s="74"/>
      <c r="D290" s="59" t="str">
        <f t="shared" si="28"/>
        <v/>
      </c>
      <c r="E290" s="74"/>
      <c r="F290" s="59" t="str">
        <f t="shared" si="29"/>
        <v/>
      </c>
      <c r="G290" s="75"/>
      <c r="H290" s="59" t="str">
        <f t="shared" si="30"/>
        <v/>
      </c>
      <c r="I290" s="64"/>
      <c r="J290" s="64"/>
      <c r="K290" s="64"/>
      <c r="M290" t="str">
        <f t="shared" si="31"/>
        <v/>
      </c>
      <c r="N290" t="str">
        <f t="shared" si="32"/>
        <v/>
      </c>
    </row>
    <row r="291" spans="1:14">
      <c r="A291" s="59" t="str">
        <f>IF(C291="","",VLOOKUP('Opći dio'!$C$3,'Opći dio'!$L$6:$U$135,10,0))</f>
        <v/>
      </c>
      <c r="B291" s="59" t="str">
        <f>IF(C291="","",VLOOKUP('Opći dio'!$C$3,'Opći dio'!$L$6:$U$135,9,0))</f>
        <v/>
      </c>
      <c r="C291" s="74"/>
      <c r="D291" s="59" t="str">
        <f t="shared" si="28"/>
        <v/>
      </c>
      <c r="E291" s="74"/>
      <c r="F291" s="59" t="str">
        <f t="shared" si="29"/>
        <v/>
      </c>
      <c r="G291" s="75"/>
      <c r="H291" s="59" t="str">
        <f t="shared" si="30"/>
        <v/>
      </c>
      <c r="I291" s="64"/>
      <c r="J291" s="64"/>
      <c r="K291" s="64"/>
      <c r="M291" t="str">
        <f t="shared" si="31"/>
        <v/>
      </c>
      <c r="N291" t="str">
        <f t="shared" si="32"/>
        <v/>
      </c>
    </row>
    <row r="292" spans="1:14">
      <c r="A292" s="59" t="str">
        <f>IF(C292="","",VLOOKUP('Opći dio'!$C$3,'Opći dio'!$L$6:$U$135,10,0))</f>
        <v/>
      </c>
      <c r="B292" s="59" t="str">
        <f>IF(C292="","",VLOOKUP('Opći dio'!$C$3,'Opći dio'!$L$6:$U$135,9,0))</f>
        <v/>
      </c>
      <c r="C292" s="74"/>
      <c r="D292" s="59" t="str">
        <f t="shared" si="28"/>
        <v/>
      </c>
      <c r="E292" s="74"/>
      <c r="F292" s="59" t="str">
        <f t="shared" si="29"/>
        <v/>
      </c>
      <c r="G292" s="75"/>
      <c r="H292" s="59" t="str">
        <f t="shared" si="30"/>
        <v/>
      </c>
      <c r="I292" s="64"/>
      <c r="J292" s="64"/>
      <c r="K292" s="64"/>
      <c r="M292" t="str">
        <f t="shared" si="31"/>
        <v/>
      </c>
      <c r="N292" t="str">
        <f t="shared" si="32"/>
        <v/>
      </c>
    </row>
    <row r="293" spans="1:14">
      <c r="A293" s="59" t="str">
        <f>IF(C293="","",VLOOKUP('Opći dio'!$C$3,'Opći dio'!$L$6:$U$135,10,0))</f>
        <v/>
      </c>
      <c r="B293" s="59" t="str">
        <f>IF(C293="","",VLOOKUP('Opći dio'!$C$3,'Opći dio'!$L$6:$U$135,9,0))</f>
        <v/>
      </c>
      <c r="C293" s="74"/>
      <c r="D293" s="59" t="str">
        <f t="shared" si="28"/>
        <v/>
      </c>
      <c r="E293" s="74"/>
      <c r="F293" s="59" t="str">
        <f t="shared" si="29"/>
        <v/>
      </c>
      <c r="G293" s="75"/>
      <c r="H293" s="59" t="str">
        <f t="shared" si="30"/>
        <v/>
      </c>
      <c r="I293" s="64"/>
      <c r="J293" s="64"/>
      <c r="K293" s="64"/>
      <c r="M293" t="str">
        <f t="shared" si="31"/>
        <v/>
      </c>
      <c r="N293" t="str">
        <f t="shared" si="32"/>
        <v/>
      </c>
    </row>
    <row r="294" spans="1:14">
      <c r="A294" s="59" t="str">
        <f>IF(C294="","",VLOOKUP('Opći dio'!$C$3,'Opći dio'!$L$6:$U$135,10,0))</f>
        <v/>
      </c>
      <c r="B294" s="59" t="str">
        <f>IF(C294="","",VLOOKUP('Opći dio'!$C$3,'Opći dio'!$L$6:$U$135,9,0))</f>
        <v/>
      </c>
      <c r="C294" s="74"/>
      <c r="D294" s="59" t="str">
        <f t="shared" si="28"/>
        <v/>
      </c>
      <c r="E294" s="74"/>
      <c r="F294" s="59" t="str">
        <f t="shared" si="29"/>
        <v/>
      </c>
      <c r="G294" s="75"/>
      <c r="H294" s="59" t="str">
        <f t="shared" si="30"/>
        <v/>
      </c>
      <c r="I294" s="64"/>
      <c r="J294" s="64"/>
      <c r="K294" s="64"/>
      <c r="M294" t="str">
        <f t="shared" si="31"/>
        <v/>
      </c>
      <c r="N294" t="str">
        <f t="shared" si="32"/>
        <v/>
      </c>
    </row>
    <row r="295" spans="1:14">
      <c r="A295" s="59" t="str">
        <f>IF(C295="","",VLOOKUP('Opći dio'!$C$3,'Opći dio'!$L$6:$U$135,10,0))</f>
        <v/>
      </c>
      <c r="B295" s="59" t="str">
        <f>IF(C295="","",VLOOKUP('Opći dio'!$C$3,'Opći dio'!$L$6:$U$135,9,0))</f>
        <v/>
      </c>
      <c r="C295" s="74"/>
      <c r="D295" s="59" t="str">
        <f t="shared" si="28"/>
        <v/>
      </c>
      <c r="E295" s="74"/>
      <c r="F295" s="59" t="str">
        <f t="shared" si="29"/>
        <v/>
      </c>
      <c r="G295" s="75"/>
      <c r="H295" s="59" t="str">
        <f t="shared" si="30"/>
        <v/>
      </c>
      <c r="I295" s="64"/>
      <c r="J295" s="64"/>
      <c r="K295" s="64"/>
      <c r="M295" t="str">
        <f t="shared" si="31"/>
        <v/>
      </c>
      <c r="N295" t="str">
        <f t="shared" si="32"/>
        <v/>
      </c>
    </row>
    <row r="296" spans="1:14">
      <c r="A296" s="59" t="str">
        <f>IF(C296="","",VLOOKUP('Opći dio'!$C$3,'Opći dio'!$L$6:$U$135,10,0))</f>
        <v/>
      </c>
      <c r="B296" s="59" t="str">
        <f>IF(C296="","",VLOOKUP('Opći dio'!$C$3,'Opći dio'!$L$6:$U$135,9,0))</f>
        <v/>
      </c>
      <c r="C296" s="74"/>
      <c r="D296" s="59" t="str">
        <f t="shared" si="28"/>
        <v/>
      </c>
      <c r="E296" s="74"/>
      <c r="F296" s="59" t="str">
        <f t="shared" si="29"/>
        <v/>
      </c>
      <c r="G296" s="75"/>
      <c r="H296" s="59" t="str">
        <f t="shared" si="30"/>
        <v/>
      </c>
      <c r="I296" s="64"/>
      <c r="J296" s="64"/>
      <c r="K296" s="64"/>
      <c r="M296" t="str">
        <f t="shared" si="31"/>
        <v/>
      </c>
      <c r="N296" t="str">
        <f t="shared" si="32"/>
        <v/>
      </c>
    </row>
    <row r="297" spans="1:14">
      <c r="A297" s="59" t="str">
        <f>IF(C297="","",VLOOKUP('Opći dio'!$C$3,'Opći dio'!$L$6:$U$135,10,0))</f>
        <v/>
      </c>
      <c r="B297" s="59" t="str">
        <f>IF(C297="","",VLOOKUP('Opći dio'!$C$3,'Opći dio'!$L$6:$U$135,9,0))</f>
        <v/>
      </c>
      <c r="C297" s="74"/>
      <c r="D297" s="59" t="str">
        <f t="shared" si="28"/>
        <v/>
      </c>
      <c r="E297" s="74"/>
      <c r="F297" s="59" t="str">
        <f t="shared" si="29"/>
        <v/>
      </c>
      <c r="G297" s="75"/>
      <c r="H297" s="59" t="str">
        <f t="shared" si="30"/>
        <v/>
      </c>
      <c r="I297" s="64"/>
      <c r="J297" s="64"/>
      <c r="K297" s="64"/>
      <c r="M297" t="str">
        <f t="shared" si="31"/>
        <v/>
      </c>
      <c r="N297" t="str">
        <f t="shared" si="32"/>
        <v/>
      </c>
    </row>
    <row r="298" spans="1:14">
      <c r="A298" s="59" t="str">
        <f>IF(C298="","",VLOOKUP('Opći dio'!$C$3,'Opći dio'!$L$6:$U$135,10,0))</f>
        <v/>
      </c>
      <c r="B298" s="59" t="str">
        <f>IF(C298="","",VLOOKUP('Opći dio'!$C$3,'Opći dio'!$L$6:$U$135,9,0))</f>
        <v/>
      </c>
      <c r="C298" s="74"/>
      <c r="D298" s="59" t="str">
        <f t="shared" si="28"/>
        <v/>
      </c>
      <c r="E298" s="74"/>
      <c r="F298" s="59" t="str">
        <f t="shared" si="29"/>
        <v/>
      </c>
      <c r="G298" s="75"/>
      <c r="H298" s="59" t="str">
        <f t="shared" si="30"/>
        <v/>
      </c>
      <c r="I298" s="64"/>
      <c r="J298" s="64"/>
      <c r="K298" s="64"/>
      <c r="M298" t="str">
        <f t="shared" si="31"/>
        <v/>
      </c>
      <c r="N298" t="str">
        <f t="shared" si="32"/>
        <v/>
      </c>
    </row>
    <row r="299" spans="1:14">
      <c r="A299" s="59" t="str">
        <f>IF(C299="","",VLOOKUP('Opći dio'!$C$3,'Opći dio'!$L$6:$U$135,10,0))</f>
        <v/>
      </c>
      <c r="B299" s="59" t="str">
        <f>IF(C299="","",VLOOKUP('Opći dio'!$C$3,'Opći dio'!$L$6:$U$135,9,0))</f>
        <v/>
      </c>
      <c r="C299" s="74"/>
      <c r="D299" s="59" t="str">
        <f t="shared" si="28"/>
        <v/>
      </c>
      <c r="E299" s="74"/>
      <c r="F299" s="59" t="str">
        <f t="shared" si="29"/>
        <v/>
      </c>
      <c r="G299" s="75"/>
      <c r="H299" s="59" t="str">
        <f t="shared" si="30"/>
        <v/>
      </c>
      <c r="I299" s="64"/>
      <c r="J299" s="64"/>
      <c r="K299" s="64"/>
      <c r="M299" t="str">
        <f t="shared" si="31"/>
        <v/>
      </c>
      <c r="N299" t="str">
        <f t="shared" si="32"/>
        <v/>
      </c>
    </row>
    <row r="300" spans="1:14">
      <c r="A300" s="59" t="str">
        <f>IF(C300="","",VLOOKUP('Opći dio'!$C$3,'Opći dio'!$L$6:$U$135,10,0))</f>
        <v/>
      </c>
      <c r="B300" s="59" t="str">
        <f>IF(C300="","",VLOOKUP('Opći dio'!$C$3,'Opći dio'!$L$6:$U$135,9,0))</f>
        <v/>
      </c>
      <c r="C300" s="74"/>
      <c r="D300" s="59" t="str">
        <f t="shared" si="28"/>
        <v/>
      </c>
      <c r="E300" s="74"/>
      <c r="F300" s="59" t="str">
        <f t="shared" si="29"/>
        <v/>
      </c>
      <c r="G300" s="75"/>
      <c r="H300" s="59" t="str">
        <f t="shared" si="30"/>
        <v/>
      </c>
      <c r="I300" s="64"/>
      <c r="J300" s="64"/>
      <c r="K300" s="64"/>
      <c r="M300" t="str">
        <f t="shared" si="31"/>
        <v/>
      </c>
      <c r="N300" t="str">
        <f t="shared" si="32"/>
        <v/>
      </c>
    </row>
    <row r="301" spans="1:14">
      <c r="A301" s="59" t="str">
        <f>IF(C301="","",VLOOKUP('Opći dio'!$C$3,'Opći dio'!$L$6:$U$135,10,0))</f>
        <v/>
      </c>
      <c r="B301" s="59" t="str">
        <f>IF(C301="","",VLOOKUP('Opći dio'!$C$3,'Opći dio'!$L$6:$U$135,9,0))</f>
        <v/>
      </c>
      <c r="C301" s="74"/>
      <c r="D301" s="59" t="str">
        <f t="shared" si="28"/>
        <v/>
      </c>
      <c r="E301" s="74"/>
      <c r="F301" s="59" t="str">
        <f t="shared" si="29"/>
        <v/>
      </c>
      <c r="G301" s="75"/>
      <c r="H301" s="59" t="str">
        <f t="shared" si="30"/>
        <v/>
      </c>
      <c r="I301" s="64"/>
      <c r="J301" s="64"/>
      <c r="K301" s="64"/>
      <c r="M301" t="str">
        <f t="shared" si="31"/>
        <v/>
      </c>
      <c r="N301" t="str">
        <f t="shared" si="32"/>
        <v/>
      </c>
    </row>
    <row r="302" spans="1:14">
      <c r="A302" s="59" t="str">
        <f>IF(C302="","",VLOOKUP('Opći dio'!$C$3,'Opći dio'!$L$6:$U$135,10,0))</f>
        <v/>
      </c>
      <c r="B302" s="59" t="str">
        <f>IF(C302="","",VLOOKUP('Opći dio'!$C$3,'Opći dio'!$L$6:$U$135,9,0))</f>
        <v/>
      </c>
      <c r="C302" s="74"/>
      <c r="D302" s="59" t="str">
        <f t="shared" si="28"/>
        <v/>
      </c>
      <c r="E302" s="74"/>
      <c r="F302" s="59" t="str">
        <f t="shared" si="29"/>
        <v/>
      </c>
      <c r="G302" s="75"/>
      <c r="H302" s="59" t="str">
        <f t="shared" si="30"/>
        <v/>
      </c>
      <c r="I302" s="64"/>
      <c r="J302" s="64"/>
      <c r="K302" s="64"/>
      <c r="M302" t="str">
        <f t="shared" si="31"/>
        <v/>
      </c>
      <c r="N302" t="str">
        <f t="shared" si="32"/>
        <v/>
      </c>
    </row>
    <row r="303" spans="1:14">
      <c r="A303" s="59" t="str">
        <f>IF(C303="","",VLOOKUP('Opći dio'!$C$3,'Opći dio'!$L$6:$U$135,10,0))</f>
        <v/>
      </c>
      <c r="B303" s="59" t="str">
        <f>IF(C303="","",VLOOKUP('Opći dio'!$C$3,'Opći dio'!$L$6:$U$135,9,0))</f>
        <v/>
      </c>
      <c r="C303" s="74"/>
      <c r="D303" s="59" t="str">
        <f t="shared" si="28"/>
        <v/>
      </c>
      <c r="E303" s="74"/>
      <c r="F303" s="59" t="str">
        <f t="shared" si="29"/>
        <v/>
      </c>
      <c r="G303" s="75"/>
      <c r="H303" s="59" t="str">
        <f t="shared" si="30"/>
        <v/>
      </c>
      <c r="I303" s="64"/>
      <c r="J303" s="64"/>
      <c r="K303" s="64"/>
      <c r="M303" t="str">
        <f t="shared" si="31"/>
        <v/>
      </c>
      <c r="N303" t="str">
        <f t="shared" si="32"/>
        <v/>
      </c>
    </row>
    <row r="304" spans="1:14">
      <c r="A304" s="59" t="str">
        <f>IF(C304="","",VLOOKUP('Opći dio'!$C$3,'Opći dio'!$L$6:$U$135,10,0))</f>
        <v/>
      </c>
      <c r="B304" s="59" t="str">
        <f>IF(C304="","",VLOOKUP('Opći dio'!$C$3,'Opći dio'!$L$6:$U$135,9,0))</f>
        <v/>
      </c>
      <c r="C304" s="74"/>
      <c r="D304" s="59" t="str">
        <f t="shared" si="28"/>
        <v/>
      </c>
      <c r="E304" s="74"/>
      <c r="F304" s="59" t="str">
        <f t="shared" si="29"/>
        <v/>
      </c>
      <c r="G304" s="75"/>
      <c r="H304" s="59" t="str">
        <f t="shared" si="30"/>
        <v/>
      </c>
      <c r="I304" s="64"/>
      <c r="J304" s="64"/>
      <c r="K304" s="64"/>
      <c r="M304" t="str">
        <f t="shared" si="31"/>
        <v/>
      </c>
      <c r="N304" t="str">
        <f t="shared" si="32"/>
        <v/>
      </c>
    </row>
    <row r="305" spans="1:14">
      <c r="A305" s="59" t="str">
        <f>IF(C305="","",VLOOKUP('Opći dio'!$C$3,'Opći dio'!$L$6:$U$135,10,0))</f>
        <v/>
      </c>
      <c r="B305" s="59" t="str">
        <f>IF(C305="","",VLOOKUP('Opći dio'!$C$3,'Opći dio'!$L$6:$U$135,9,0))</f>
        <v/>
      </c>
      <c r="C305" s="74"/>
      <c r="D305" s="59" t="str">
        <f t="shared" si="28"/>
        <v/>
      </c>
      <c r="E305" s="74"/>
      <c r="F305" s="59" t="str">
        <f t="shared" si="29"/>
        <v/>
      </c>
      <c r="G305" s="75"/>
      <c r="H305" s="59" t="str">
        <f t="shared" si="30"/>
        <v/>
      </c>
      <c r="I305" s="64"/>
      <c r="J305" s="64"/>
      <c r="K305" s="64"/>
      <c r="M305" t="str">
        <f t="shared" si="31"/>
        <v/>
      </c>
      <c r="N305" t="str">
        <f t="shared" si="32"/>
        <v/>
      </c>
    </row>
    <row r="306" spans="1:14">
      <c r="A306" s="59" t="str">
        <f>IF(C306="","",VLOOKUP('Opći dio'!$C$3,'Opći dio'!$L$6:$U$135,10,0))</f>
        <v/>
      </c>
      <c r="B306" s="59" t="str">
        <f>IF(C306="","",VLOOKUP('Opći dio'!$C$3,'Opći dio'!$L$6:$U$135,9,0))</f>
        <v/>
      </c>
      <c r="C306" s="74"/>
      <c r="D306" s="59" t="str">
        <f t="shared" si="28"/>
        <v/>
      </c>
      <c r="E306" s="74"/>
      <c r="F306" s="59" t="str">
        <f t="shared" si="29"/>
        <v/>
      </c>
      <c r="G306" s="75"/>
      <c r="H306" s="59" t="str">
        <f t="shared" si="30"/>
        <v/>
      </c>
      <c r="I306" s="64"/>
      <c r="J306" s="64"/>
      <c r="K306" s="64"/>
      <c r="M306" t="str">
        <f t="shared" si="31"/>
        <v/>
      </c>
      <c r="N306" t="str">
        <f t="shared" si="32"/>
        <v/>
      </c>
    </row>
    <row r="307" spans="1:14">
      <c r="A307" s="59" t="str">
        <f>IF(C307="","",VLOOKUP('Opći dio'!$C$3,'Opći dio'!$L$6:$U$135,10,0))</f>
        <v/>
      </c>
      <c r="B307" s="59" t="str">
        <f>IF(C307="","",VLOOKUP('Opći dio'!$C$3,'Opći dio'!$L$6:$U$135,9,0))</f>
        <v/>
      </c>
      <c r="C307" s="74"/>
      <c r="D307" s="59" t="str">
        <f t="shared" si="28"/>
        <v/>
      </c>
      <c r="E307" s="74"/>
      <c r="F307" s="59" t="str">
        <f t="shared" si="29"/>
        <v/>
      </c>
      <c r="G307" s="75"/>
      <c r="H307" s="59" t="str">
        <f t="shared" si="30"/>
        <v/>
      </c>
      <c r="I307" s="64"/>
      <c r="J307" s="64"/>
      <c r="K307" s="64"/>
      <c r="M307" t="str">
        <f t="shared" si="31"/>
        <v/>
      </c>
      <c r="N307" t="str">
        <f t="shared" si="32"/>
        <v/>
      </c>
    </row>
    <row r="308" spans="1:14">
      <c r="A308" s="59" t="str">
        <f>IF(C308="","",VLOOKUP('Opći dio'!$C$3,'Opći dio'!$L$6:$U$135,10,0))</f>
        <v/>
      </c>
      <c r="B308" s="59" t="str">
        <f>IF(C308="","",VLOOKUP('Opći dio'!$C$3,'Opći dio'!$L$6:$U$135,9,0))</f>
        <v/>
      </c>
      <c r="C308" s="74"/>
      <c r="D308" s="59" t="str">
        <f t="shared" si="28"/>
        <v/>
      </c>
      <c r="E308" s="74"/>
      <c r="F308" s="59" t="str">
        <f t="shared" si="29"/>
        <v/>
      </c>
      <c r="G308" s="75"/>
      <c r="H308" s="59" t="str">
        <f t="shared" si="30"/>
        <v/>
      </c>
      <c r="I308" s="64"/>
      <c r="J308" s="64"/>
      <c r="K308" s="64"/>
      <c r="M308" t="str">
        <f t="shared" si="31"/>
        <v/>
      </c>
      <c r="N308" t="str">
        <f t="shared" si="32"/>
        <v/>
      </c>
    </row>
    <row r="309" spans="1:14">
      <c r="A309" s="59" t="str">
        <f>IF(C309="","",VLOOKUP('Opći dio'!$C$3,'Opći dio'!$L$6:$U$135,10,0))</f>
        <v/>
      </c>
      <c r="B309" s="59" t="str">
        <f>IF(C309="","",VLOOKUP('Opći dio'!$C$3,'Opći dio'!$L$6:$U$135,9,0))</f>
        <v/>
      </c>
      <c r="C309" s="74"/>
      <c r="D309" s="59" t="str">
        <f t="shared" si="28"/>
        <v/>
      </c>
      <c r="E309" s="74"/>
      <c r="F309" s="59" t="str">
        <f t="shared" si="29"/>
        <v/>
      </c>
      <c r="G309" s="75"/>
      <c r="H309" s="59" t="str">
        <f t="shared" si="30"/>
        <v/>
      </c>
      <c r="I309" s="64"/>
      <c r="J309" s="64"/>
      <c r="K309" s="64"/>
      <c r="M309" t="str">
        <f t="shared" si="31"/>
        <v/>
      </c>
      <c r="N309" t="str">
        <f t="shared" si="32"/>
        <v/>
      </c>
    </row>
    <row r="310" spans="1:14">
      <c r="A310" s="59" t="str">
        <f>IF(C310="","",VLOOKUP('Opći dio'!$C$3,'Opći dio'!$L$6:$U$135,10,0))</f>
        <v/>
      </c>
      <c r="B310" s="59" t="str">
        <f>IF(C310="","",VLOOKUP('Opći dio'!$C$3,'Opći dio'!$L$6:$U$135,9,0))</f>
        <v/>
      </c>
      <c r="C310" s="74"/>
      <c r="D310" s="59" t="str">
        <f t="shared" si="28"/>
        <v/>
      </c>
      <c r="E310" s="74"/>
      <c r="F310" s="59" t="str">
        <f t="shared" si="29"/>
        <v/>
      </c>
      <c r="G310" s="75"/>
      <c r="H310" s="59" t="str">
        <f t="shared" si="30"/>
        <v/>
      </c>
      <c r="I310" s="64"/>
      <c r="J310" s="64"/>
      <c r="K310" s="64"/>
      <c r="M310" t="str">
        <f t="shared" si="31"/>
        <v/>
      </c>
      <c r="N310" t="str">
        <f t="shared" si="32"/>
        <v/>
      </c>
    </row>
    <row r="311" spans="1:14">
      <c r="A311" s="59" t="str">
        <f>IF(C311="","",VLOOKUP('Opći dio'!$C$3,'Opći dio'!$L$6:$U$135,10,0))</f>
        <v/>
      </c>
      <c r="B311" s="59" t="str">
        <f>IF(C311="","",VLOOKUP('Opći dio'!$C$3,'Opći dio'!$L$6:$U$135,9,0))</f>
        <v/>
      </c>
      <c r="C311" s="74"/>
      <c r="D311" s="59" t="str">
        <f t="shared" si="28"/>
        <v/>
      </c>
      <c r="E311" s="74"/>
      <c r="F311" s="59" t="str">
        <f t="shared" si="29"/>
        <v/>
      </c>
      <c r="G311" s="75"/>
      <c r="H311" s="59" t="str">
        <f t="shared" si="30"/>
        <v/>
      </c>
      <c r="I311" s="64"/>
      <c r="J311" s="64"/>
      <c r="K311" s="64"/>
      <c r="M311" t="str">
        <f t="shared" si="31"/>
        <v/>
      </c>
      <c r="N311" t="str">
        <f t="shared" si="32"/>
        <v/>
      </c>
    </row>
    <row r="312" spans="1:14">
      <c r="A312" s="59" t="str">
        <f>IF(C312="","",VLOOKUP('Opći dio'!$C$3,'Opći dio'!$L$6:$U$135,10,0))</f>
        <v/>
      </c>
      <c r="B312" s="59" t="str">
        <f>IF(C312="","",VLOOKUP('Opći dio'!$C$3,'Opći dio'!$L$6:$U$135,9,0))</f>
        <v/>
      </c>
      <c r="C312" s="74"/>
      <c r="D312" s="59" t="str">
        <f t="shared" si="28"/>
        <v/>
      </c>
      <c r="E312" s="74"/>
      <c r="F312" s="59" t="str">
        <f t="shared" si="29"/>
        <v/>
      </c>
      <c r="G312" s="75"/>
      <c r="H312" s="59" t="str">
        <f t="shared" si="30"/>
        <v/>
      </c>
      <c r="I312" s="64"/>
      <c r="J312" s="64"/>
      <c r="K312" s="64"/>
      <c r="M312" t="str">
        <f t="shared" si="31"/>
        <v/>
      </c>
      <c r="N312" t="str">
        <f t="shared" si="32"/>
        <v/>
      </c>
    </row>
    <row r="313" spans="1:14">
      <c r="A313" s="59" t="str">
        <f>IF(C313="","",VLOOKUP('Opći dio'!$C$3,'Opći dio'!$L$6:$U$135,10,0))</f>
        <v/>
      </c>
      <c r="B313" s="59" t="str">
        <f>IF(C313="","",VLOOKUP('Opći dio'!$C$3,'Opći dio'!$L$6:$U$135,9,0))</f>
        <v/>
      </c>
      <c r="C313" s="74"/>
      <c r="D313" s="59" t="str">
        <f t="shared" si="28"/>
        <v/>
      </c>
      <c r="E313" s="74"/>
      <c r="F313" s="59" t="str">
        <f t="shared" si="29"/>
        <v/>
      </c>
      <c r="G313" s="75"/>
      <c r="H313" s="59" t="str">
        <f t="shared" si="30"/>
        <v/>
      </c>
      <c r="I313" s="64"/>
      <c r="J313" s="64"/>
      <c r="K313" s="64"/>
      <c r="M313" t="str">
        <f t="shared" si="31"/>
        <v/>
      </c>
      <c r="N313" t="str">
        <f t="shared" si="32"/>
        <v/>
      </c>
    </row>
    <row r="314" spans="1:14">
      <c r="A314" s="59" t="str">
        <f>IF(C314="","",VLOOKUP('Opći dio'!$C$3,'Opći dio'!$L$6:$U$135,10,0))</f>
        <v/>
      </c>
      <c r="B314" s="59" t="str">
        <f>IF(C314="","",VLOOKUP('Opći dio'!$C$3,'Opći dio'!$L$6:$U$135,9,0))</f>
        <v/>
      </c>
      <c r="C314" s="74"/>
      <c r="D314" s="59" t="str">
        <f t="shared" si="28"/>
        <v/>
      </c>
      <c r="E314" s="74"/>
      <c r="F314" s="59" t="str">
        <f t="shared" si="29"/>
        <v/>
      </c>
      <c r="G314" s="75"/>
      <c r="H314" s="59" t="str">
        <f t="shared" si="30"/>
        <v/>
      </c>
      <c r="I314" s="64"/>
      <c r="J314" s="64"/>
      <c r="K314" s="64"/>
      <c r="M314" t="str">
        <f t="shared" si="31"/>
        <v/>
      </c>
      <c r="N314" t="str">
        <f t="shared" si="32"/>
        <v/>
      </c>
    </row>
    <row r="315" spans="1:14">
      <c r="A315" s="59" t="str">
        <f>IF(C315="","",VLOOKUP('Opći dio'!$C$3,'Opći dio'!$L$6:$U$135,10,0))</f>
        <v/>
      </c>
      <c r="B315" s="59" t="str">
        <f>IF(C315="","",VLOOKUP('Opći dio'!$C$3,'Opći dio'!$L$6:$U$135,9,0))</f>
        <v/>
      </c>
      <c r="C315" s="74"/>
      <c r="D315" s="59" t="str">
        <f t="shared" si="28"/>
        <v/>
      </c>
      <c r="E315" s="74"/>
      <c r="F315" s="59" t="str">
        <f t="shared" si="29"/>
        <v/>
      </c>
      <c r="G315" s="75"/>
      <c r="H315" s="59" t="str">
        <f t="shared" si="30"/>
        <v/>
      </c>
      <c r="I315" s="64"/>
      <c r="J315" s="64"/>
      <c r="K315" s="64"/>
      <c r="M315" t="str">
        <f t="shared" si="31"/>
        <v/>
      </c>
      <c r="N315" t="str">
        <f t="shared" si="32"/>
        <v/>
      </c>
    </row>
    <row r="316" spans="1:14">
      <c r="A316" s="59" t="str">
        <f>IF(C316="","",VLOOKUP('Opći dio'!$C$3,'Opći dio'!$L$6:$U$135,10,0))</f>
        <v/>
      </c>
      <c r="B316" s="59" t="str">
        <f>IF(C316="","",VLOOKUP('Opći dio'!$C$3,'Opći dio'!$L$6:$U$135,9,0))</f>
        <v/>
      </c>
      <c r="C316" s="74"/>
      <c r="D316" s="59" t="str">
        <f t="shared" si="28"/>
        <v/>
      </c>
      <c r="E316" s="74"/>
      <c r="F316" s="59" t="str">
        <f t="shared" si="29"/>
        <v/>
      </c>
      <c r="G316" s="75"/>
      <c r="H316" s="59" t="str">
        <f t="shared" si="30"/>
        <v/>
      </c>
      <c r="I316" s="64"/>
      <c r="J316" s="64"/>
      <c r="K316" s="64"/>
      <c r="M316" t="str">
        <f t="shared" si="31"/>
        <v/>
      </c>
      <c r="N316" t="str">
        <f t="shared" si="32"/>
        <v/>
      </c>
    </row>
    <row r="317" spans="1:14">
      <c r="A317" s="59" t="str">
        <f>IF(C317="","",VLOOKUP('Opći dio'!$C$3,'Opći dio'!$L$6:$U$135,10,0))</f>
        <v/>
      </c>
      <c r="B317" s="59" t="str">
        <f>IF(C317="","",VLOOKUP('Opći dio'!$C$3,'Opći dio'!$L$6:$U$135,9,0))</f>
        <v/>
      </c>
      <c r="C317" s="74"/>
      <c r="D317" s="59" t="str">
        <f t="shared" si="28"/>
        <v/>
      </c>
      <c r="E317" s="74"/>
      <c r="F317" s="59" t="str">
        <f t="shared" si="29"/>
        <v/>
      </c>
      <c r="G317" s="75"/>
      <c r="H317" s="59" t="str">
        <f t="shared" si="30"/>
        <v/>
      </c>
      <c r="I317" s="64"/>
      <c r="J317" s="64"/>
      <c r="K317" s="64"/>
      <c r="M317" t="str">
        <f t="shared" si="31"/>
        <v/>
      </c>
      <c r="N317" t="str">
        <f t="shared" si="32"/>
        <v/>
      </c>
    </row>
    <row r="318" spans="1:14">
      <c r="A318" s="59" t="str">
        <f>IF(C318="","",VLOOKUP('Opći dio'!$C$3,'Opći dio'!$L$6:$U$135,10,0))</f>
        <v/>
      </c>
      <c r="B318" s="59" t="str">
        <f>IF(C318="","",VLOOKUP('Opći dio'!$C$3,'Opći dio'!$L$6:$U$135,9,0))</f>
        <v/>
      </c>
      <c r="C318" s="74"/>
      <c r="D318" s="59" t="str">
        <f t="shared" si="28"/>
        <v/>
      </c>
      <c r="E318" s="74"/>
      <c r="F318" s="59" t="str">
        <f t="shared" si="29"/>
        <v/>
      </c>
      <c r="G318" s="75"/>
      <c r="H318" s="59" t="str">
        <f t="shared" si="30"/>
        <v/>
      </c>
      <c r="I318" s="64"/>
      <c r="J318" s="64"/>
      <c r="K318" s="64"/>
      <c r="M318" t="str">
        <f t="shared" si="31"/>
        <v/>
      </c>
      <c r="N318" t="str">
        <f t="shared" si="32"/>
        <v/>
      </c>
    </row>
    <row r="319" spans="1:14">
      <c r="A319" s="59" t="str">
        <f>IF(C319="","",VLOOKUP('Opći dio'!$C$3,'Opći dio'!$L$6:$U$135,10,0))</f>
        <v/>
      </c>
      <c r="B319" s="59" t="str">
        <f>IF(C319="","",VLOOKUP('Opći dio'!$C$3,'Opći dio'!$L$6:$U$135,9,0))</f>
        <v/>
      </c>
      <c r="C319" s="74"/>
      <c r="D319" s="59" t="str">
        <f t="shared" si="28"/>
        <v/>
      </c>
      <c r="E319" s="74"/>
      <c r="F319" s="59" t="str">
        <f t="shared" si="29"/>
        <v/>
      </c>
      <c r="G319" s="75"/>
      <c r="H319" s="59" t="str">
        <f t="shared" si="30"/>
        <v/>
      </c>
      <c r="I319" s="64"/>
      <c r="J319" s="64"/>
      <c r="K319" s="64"/>
      <c r="M319" t="str">
        <f t="shared" si="31"/>
        <v/>
      </c>
      <c r="N319" t="str">
        <f t="shared" si="32"/>
        <v/>
      </c>
    </row>
    <row r="320" spans="1:14">
      <c r="A320" s="59" t="str">
        <f>IF(C320="","",VLOOKUP('Opći dio'!$C$3,'Opći dio'!$L$6:$U$135,10,0))</f>
        <v/>
      </c>
      <c r="B320" s="59" t="str">
        <f>IF(C320="","",VLOOKUP('Opći dio'!$C$3,'Opći dio'!$L$6:$U$135,9,0))</f>
        <v/>
      </c>
      <c r="C320" s="74"/>
      <c r="D320" s="59" t="str">
        <f t="shared" si="28"/>
        <v/>
      </c>
      <c r="E320" s="74"/>
      <c r="F320" s="59" t="str">
        <f t="shared" si="29"/>
        <v/>
      </c>
      <c r="G320" s="75"/>
      <c r="H320" s="59" t="str">
        <f t="shared" si="30"/>
        <v/>
      </c>
      <c r="I320" s="64"/>
      <c r="J320" s="64"/>
      <c r="K320" s="64"/>
      <c r="M320" t="str">
        <f t="shared" si="31"/>
        <v/>
      </c>
      <c r="N320" t="str">
        <f t="shared" si="32"/>
        <v/>
      </c>
    </row>
    <row r="321" spans="1:14">
      <c r="A321" s="59" t="str">
        <f>IF(C321="","",VLOOKUP('Opći dio'!$C$3,'Opći dio'!$L$6:$U$135,10,0))</f>
        <v/>
      </c>
      <c r="B321" s="59" t="str">
        <f>IF(C321="","",VLOOKUP('Opći dio'!$C$3,'Opći dio'!$L$6:$U$135,9,0))</f>
        <v/>
      </c>
      <c r="C321" s="74"/>
      <c r="D321" s="59" t="str">
        <f t="shared" si="28"/>
        <v/>
      </c>
      <c r="E321" s="74"/>
      <c r="F321" s="59" t="str">
        <f t="shared" si="29"/>
        <v/>
      </c>
      <c r="G321" s="75"/>
      <c r="H321" s="59" t="str">
        <f t="shared" si="30"/>
        <v/>
      </c>
      <c r="I321" s="64"/>
      <c r="J321" s="64"/>
      <c r="K321" s="64"/>
      <c r="M321" t="str">
        <f t="shared" si="31"/>
        <v/>
      </c>
      <c r="N321" t="str">
        <f t="shared" si="32"/>
        <v/>
      </c>
    </row>
    <row r="322" spans="1:14">
      <c r="A322" s="59" t="str">
        <f>IF(C322="","",VLOOKUP('Opći dio'!$C$3,'Opći dio'!$L$6:$U$135,10,0))</f>
        <v/>
      </c>
      <c r="B322" s="59" t="str">
        <f>IF(C322="","",VLOOKUP('Opći dio'!$C$3,'Opći dio'!$L$6:$U$135,9,0))</f>
        <v/>
      </c>
      <c r="C322" s="74"/>
      <c r="D322" s="59" t="str">
        <f t="shared" si="28"/>
        <v/>
      </c>
      <c r="E322" s="74"/>
      <c r="F322" s="59" t="str">
        <f t="shared" si="29"/>
        <v/>
      </c>
      <c r="G322" s="75"/>
      <c r="H322" s="59" t="str">
        <f t="shared" si="30"/>
        <v/>
      </c>
      <c r="I322" s="64"/>
      <c r="J322" s="64"/>
      <c r="K322" s="64"/>
      <c r="M322" t="str">
        <f t="shared" si="31"/>
        <v/>
      </c>
      <c r="N322" t="str">
        <f t="shared" si="32"/>
        <v/>
      </c>
    </row>
    <row r="323" spans="1:14">
      <c r="A323" s="59" t="str">
        <f>IF(C323="","",VLOOKUP('Opći dio'!$C$3,'Opći dio'!$L$6:$U$135,10,0))</f>
        <v/>
      </c>
      <c r="B323" s="59" t="str">
        <f>IF(C323="","",VLOOKUP('Opći dio'!$C$3,'Opći dio'!$L$6:$U$135,9,0))</f>
        <v/>
      </c>
      <c r="C323" s="74"/>
      <c r="D323" s="59" t="str">
        <f t="shared" ref="D323:D386" si="33">IFERROR(VLOOKUP(C323,$O$6:$P$16,2,0),"")</f>
        <v/>
      </c>
      <c r="E323" s="74"/>
      <c r="F323" s="59" t="str">
        <f t="shared" ref="F323:F386" si="34">IFERROR(VLOOKUP(E323,$R$5:$T$129,2,0),"")</f>
        <v/>
      </c>
      <c r="G323" s="75"/>
      <c r="H323" s="59" t="str">
        <f t="shared" ref="H323:H386" si="35">IFERROR(VLOOKUP(G323,$X$6:$Y$50,2,0),"")</f>
        <v/>
      </c>
      <c r="I323" s="64"/>
      <c r="J323" s="64"/>
      <c r="K323" s="64"/>
      <c r="M323" t="str">
        <f t="shared" ref="M323:M386" si="36">LEFT(E323,3)</f>
        <v/>
      </c>
      <c r="N323" t="str">
        <f t="shared" ref="N323:N386" si="37">LEFT(E323,2)</f>
        <v/>
      </c>
    </row>
    <row r="324" spans="1:14">
      <c r="A324" s="59" t="str">
        <f>IF(C324="","",VLOOKUP('Opći dio'!$C$3,'Opći dio'!$L$6:$U$135,10,0))</f>
        <v/>
      </c>
      <c r="B324" s="59" t="str">
        <f>IF(C324="","",VLOOKUP('Opći dio'!$C$3,'Opći dio'!$L$6:$U$135,9,0))</f>
        <v/>
      </c>
      <c r="C324" s="74"/>
      <c r="D324" s="59" t="str">
        <f t="shared" si="33"/>
        <v/>
      </c>
      <c r="E324" s="74"/>
      <c r="F324" s="59" t="str">
        <f t="shared" si="34"/>
        <v/>
      </c>
      <c r="G324" s="75"/>
      <c r="H324" s="59" t="str">
        <f t="shared" si="35"/>
        <v/>
      </c>
      <c r="I324" s="64"/>
      <c r="J324" s="64"/>
      <c r="K324" s="64"/>
      <c r="M324" t="str">
        <f t="shared" si="36"/>
        <v/>
      </c>
      <c r="N324" t="str">
        <f t="shared" si="37"/>
        <v/>
      </c>
    </row>
    <row r="325" spans="1:14">
      <c r="A325" s="59" t="str">
        <f>IF(C325="","",VLOOKUP('Opći dio'!$C$3,'Opći dio'!$L$6:$U$135,10,0))</f>
        <v/>
      </c>
      <c r="B325" s="59" t="str">
        <f>IF(C325="","",VLOOKUP('Opći dio'!$C$3,'Opći dio'!$L$6:$U$135,9,0))</f>
        <v/>
      </c>
      <c r="C325" s="74"/>
      <c r="D325" s="59" t="str">
        <f t="shared" si="33"/>
        <v/>
      </c>
      <c r="E325" s="74"/>
      <c r="F325" s="59" t="str">
        <f t="shared" si="34"/>
        <v/>
      </c>
      <c r="G325" s="75"/>
      <c r="H325" s="59" t="str">
        <f t="shared" si="35"/>
        <v/>
      </c>
      <c r="I325" s="64"/>
      <c r="J325" s="64"/>
      <c r="K325" s="64"/>
      <c r="M325" t="str">
        <f t="shared" si="36"/>
        <v/>
      </c>
      <c r="N325" t="str">
        <f t="shared" si="37"/>
        <v/>
      </c>
    </row>
    <row r="326" spans="1:14">
      <c r="A326" s="59" t="str">
        <f>IF(C326="","",VLOOKUP('Opći dio'!$C$3,'Opći dio'!$L$6:$U$135,10,0))</f>
        <v/>
      </c>
      <c r="B326" s="59" t="str">
        <f>IF(C326="","",VLOOKUP('Opći dio'!$C$3,'Opći dio'!$L$6:$U$135,9,0))</f>
        <v/>
      </c>
      <c r="C326" s="74"/>
      <c r="D326" s="59" t="str">
        <f t="shared" si="33"/>
        <v/>
      </c>
      <c r="E326" s="74"/>
      <c r="F326" s="59" t="str">
        <f t="shared" si="34"/>
        <v/>
      </c>
      <c r="G326" s="75"/>
      <c r="H326" s="59" t="str">
        <f t="shared" si="35"/>
        <v/>
      </c>
      <c r="I326" s="64"/>
      <c r="J326" s="64"/>
      <c r="K326" s="64"/>
      <c r="M326" t="str">
        <f t="shared" si="36"/>
        <v/>
      </c>
      <c r="N326" t="str">
        <f t="shared" si="37"/>
        <v/>
      </c>
    </row>
    <row r="327" spans="1:14">
      <c r="A327" s="59" t="str">
        <f>IF(C327="","",VLOOKUP('Opći dio'!$C$3,'Opći dio'!$L$6:$U$135,10,0))</f>
        <v/>
      </c>
      <c r="B327" s="59" t="str">
        <f>IF(C327="","",VLOOKUP('Opći dio'!$C$3,'Opći dio'!$L$6:$U$135,9,0))</f>
        <v/>
      </c>
      <c r="C327" s="74"/>
      <c r="D327" s="59" t="str">
        <f t="shared" si="33"/>
        <v/>
      </c>
      <c r="E327" s="74"/>
      <c r="F327" s="59" t="str">
        <f t="shared" si="34"/>
        <v/>
      </c>
      <c r="G327" s="75"/>
      <c r="H327" s="59" t="str">
        <f t="shared" si="35"/>
        <v/>
      </c>
      <c r="I327" s="64"/>
      <c r="J327" s="64"/>
      <c r="K327" s="64"/>
      <c r="M327" t="str">
        <f t="shared" si="36"/>
        <v/>
      </c>
      <c r="N327" t="str">
        <f t="shared" si="37"/>
        <v/>
      </c>
    </row>
    <row r="328" spans="1:14">
      <c r="A328" s="59" t="str">
        <f>IF(C328="","",VLOOKUP('Opći dio'!$C$3,'Opći dio'!$L$6:$U$135,10,0))</f>
        <v/>
      </c>
      <c r="B328" s="59" t="str">
        <f>IF(C328="","",VLOOKUP('Opći dio'!$C$3,'Opći dio'!$L$6:$U$135,9,0))</f>
        <v/>
      </c>
      <c r="C328" s="74"/>
      <c r="D328" s="59" t="str">
        <f t="shared" si="33"/>
        <v/>
      </c>
      <c r="E328" s="74"/>
      <c r="F328" s="59" t="str">
        <f t="shared" si="34"/>
        <v/>
      </c>
      <c r="G328" s="75"/>
      <c r="H328" s="59" t="str">
        <f t="shared" si="35"/>
        <v/>
      </c>
      <c r="I328" s="64"/>
      <c r="J328" s="64"/>
      <c r="K328" s="64"/>
      <c r="M328" t="str">
        <f t="shared" si="36"/>
        <v/>
      </c>
      <c r="N328" t="str">
        <f t="shared" si="37"/>
        <v/>
      </c>
    </row>
    <row r="329" spans="1:14">
      <c r="A329" s="59" t="str">
        <f>IF(C329="","",VLOOKUP('Opći dio'!$C$3,'Opći dio'!$L$6:$U$135,10,0))</f>
        <v/>
      </c>
      <c r="B329" s="59" t="str">
        <f>IF(C329="","",VLOOKUP('Opći dio'!$C$3,'Opći dio'!$L$6:$U$135,9,0))</f>
        <v/>
      </c>
      <c r="C329" s="74"/>
      <c r="D329" s="59" t="str">
        <f t="shared" si="33"/>
        <v/>
      </c>
      <c r="E329" s="74"/>
      <c r="F329" s="59" t="str">
        <f t="shared" si="34"/>
        <v/>
      </c>
      <c r="G329" s="75"/>
      <c r="H329" s="59" t="str">
        <f t="shared" si="35"/>
        <v/>
      </c>
      <c r="I329" s="64"/>
      <c r="J329" s="64"/>
      <c r="K329" s="64"/>
      <c r="M329" t="str">
        <f t="shared" si="36"/>
        <v/>
      </c>
      <c r="N329" t="str">
        <f t="shared" si="37"/>
        <v/>
      </c>
    </row>
    <row r="330" spans="1:14">
      <c r="A330" s="59" t="str">
        <f>IF(C330="","",VLOOKUP('Opći dio'!$C$3,'Opći dio'!$L$6:$U$135,10,0))</f>
        <v/>
      </c>
      <c r="B330" s="59" t="str">
        <f>IF(C330="","",VLOOKUP('Opći dio'!$C$3,'Opći dio'!$L$6:$U$135,9,0))</f>
        <v/>
      </c>
      <c r="C330" s="74"/>
      <c r="D330" s="59" t="str">
        <f t="shared" si="33"/>
        <v/>
      </c>
      <c r="E330" s="74"/>
      <c r="F330" s="59" t="str">
        <f t="shared" si="34"/>
        <v/>
      </c>
      <c r="G330" s="75"/>
      <c r="H330" s="59" t="str">
        <f t="shared" si="35"/>
        <v/>
      </c>
      <c r="I330" s="64"/>
      <c r="J330" s="64"/>
      <c r="K330" s="64"/>
      <c r="M330" t="str">
        <f t="shared" si="36"/>
        <v/>
      </c>
      <c r="N330" t="str">
        <f t="shared" si="37"/>
        <v/>
      </c>
    </row>
    <row r="331" spans="1:14">
      <c r="A331" s="59" t="str">
        <f>IF(C331="","",VLOOKUP('Opći dio'!$C$3,'Opći dio'!$L$6:$U$135,10,0))</f>
        <v/>
      </c>
      <c r="B331" s="59" t="str">
        <f>IF(C331="","",VLOOKUP('Opći dio'!$C$3,'Opći dio'!$L$6:$U$135,9,0))</f>
        <v/>
      </c>
      <c r="C331" s="74"/>
      <c r="D331" s="59" t="str">
        <f t="shared" si="33"/>
        <v/>
      </c>
      <c r="E331" s="74"/>
      <c r="F331" s="59" t="str">
        <f t="shared" si="34"/>
        <v/>
      </c>
      <c r="G331" s="75"/>
      <c r="H331" s="59" t="str">
        <f t="shared" si="35"/>
        <v/>
      </c>
      <c r="I331" s="64"/>
      <c r="J331" s="64"/>
      <c r="K331" s="64"/>
      <c r="M331" t="str">
        <f t="shared" si="36"/>
        <v/>
      </c>
      <c r="N331" t="str">
        <f t="shared" si="37"/>
        <v/>
      </c>
    </row>
    <row r="332" spans="1:14">
      <c r="A332" s="59" t="str">
        <f>IF(C332="","",VLOOKUP('Opći dio'!$C$3,'Opći dio'!$L$6:$U$135,10,0))</f>
        <v/>
      </c>
      <c r="B332" s="59" t="str">
        <f>IF(C332="","",VLOOKUP('Opći dio'!$C$3,'Opći dio'!$L$6:$U$135,9,0))</f>
        <v/>
      </c>
      <c r="C332" s="74"/>
      <c r="D332" s="59" t="str">
        <f t="shared" si="33"/>
        <v/>
      </c>
      <c r="E332" s="74"/>
      <c r="F332" s="59" t="str">
        <f t="shared" si="34"/>
        <v/>
      </c>
      <c r="G332" s="75"/>
      <c r="H332" s="59" t="str">
        <f t="shared" si="35"/>
        <v/>
      </c>
      <c r="I332" s="64"/>
      <c r="J332" s="64"/>
      <c r="K332" s="64"/>
      <c r="M332" t="str">
        <f t="shared" si="36"/>
        <v/>
      </c>
      <c r="N332" t="str">
        <f t="shared" si="37"/>
        <v/>
      </c>
    </row>
    <row r="333" spans="1:14">
      <c r="A333" s="59" t="str">
        <f>IF(C333="","",VLOOKUP('Opći dio'!$C$3,'Opći dio'!$L$6:$U$135,10,0))</f>
        <v/>
      </c>
      <c r="B333" s="59" t="str">
        <f>IF(C333="","",VLOOKUP('Opći dio'!$C$3,'Opći dio'!$L$6:$U$135,9,0))</f>
        <v/>
      </c>
      <c r="C333" s="74"/>
      <c r="D333" s="59" t="str">
        <f t="shared" si="33"/>
        <v/>
      </c>
      <c r="E333" s="74"/>
      <c r="F333" s="59" t="str">
        <f t="shared" si="34"/>
        <v/>
      </c>
      <c r="G333" s="75"/>
      <c r="H333" s="59" t="str">
        <f t="shared" si="35"/>
        <v/>
      </c>
      <c r="I333" s="64"/>
      <c r="J333" s="64"/>
      <c r="K333" s="64"/>
      <c r="M333" t="str">
        <f t="shared" si="36"/>
        <v/>
      </c>
      <c r="N333" t="str">
        <f t="shared" si="37"/>
        <v/>
      </c>
    </row>
    <row r="334" spans="1:14">
      <c r="A334" s="59" t="str">
        <f>IF(C334="","",VLOOKUP('Opći dio'!$C$3,'Opći dio'!$L$6:$U$135,10,0))</f>
        <v/>
      </c>
      <c r="B334" s="59" t="str">
        <f>IF(C334="","",VLOOKUP('Opći dio'!$C$3,'Opći dio'!$L$6:$U$135,9,0))</f>
        <v/>
      </c>
      <c r="C334" s="74"/>
      <c r="D334" s="59" t="str">
        <f t="shared" si="33"/>
        <v/>
      </c>
      <c r="E334" s="74"/>
      <c r="F334" s="59" t="str">
        <f t="shared" si="34"/>
        <v/>
      </c>
      <c r="G334" s="75"/>
      <c r="H334" s="59" t="str">
        <f t="shared" si="35"/>
        <v/>
      </c>
      <c r="I334" s="64"/>
      <c r="J334" s="64"/>
      <c r="K334" s="64"/>
      <c r="M334" t="str">
        <f t="shared" si="36"/>
        <v/>
      </c>
      <c r="N334" t="str">
        <f t="shared" si="37"/>
        <v/>
      </c>
    </row>
    <row r="335" spans="1:14">
      <c r="A335" s="59" t="str">
        <f>IF(C335="","",VLOOKUP('Opći dio'!$C$3,'Opći dio'!$L$6:$U$135,10,0))</f>
        <v/>
      </c>
      <c r="B335" s="59" t="str">
        <f>IF(C335="","",VLOOKUP('Opći dio'!$C$3,'Opći dio'!$L$6:$U$135,9,0))</f>
        <v/>
      </c>
      <c r="C335" s="74"/>
      <c r="D335" s="59" t="str">
        <f t="shared" si="33"/>
        <v/>
      </c>
      <c r="E335" s="74"/>
      <c r="F335" s="59" t="str">
        <f t="shared" si="34"/>
        <v/>
      </c>
      <c r="G335" s="75"/>
      <c r="H335" s="59" t="str">
        <f t="shared" si="35"/>
        <v/>
      </c>
      <c r="I335" s="64"/>
      <c r="J335" s="64"/>
      <c r="K335" s="64"/>
      <c r="M335" t="str">
        <f t="shared" si="36"/>
        <v/>
      </c>
      <c r="N335" t="str">
        <f t="shared" si="37"/>
        <v/>
      </c>
    </row>
    <row r="336" spans="1:14">
      <c r="A336" s="59" t="str">
        <f>IF(C336="","",VLOOKUP('Opći dio'!$C$3,'Opći dio'!$L$6:$U$135,10,0))</f>
        <v/>
      </c>
      <c r="B336" s="59" t="str">
        <f>IF(C336="","",VLOOKUP('Opći dio'!$C$3,'Opći dio'!$L$6:$U$135,9,0))</f>
        <v/>
      </c>
      <c r="C336" s="74"/>
      <c r="D336" s="59" t="str">
        <f t="shared" si="33"/>
        <v/>
      </c>
      <c r="E336" s="74"/>
      <c r="F336" s="59" t="str">
        <f t="shared" si="34"/>
        <v/>
      </c>
      <c r="G336" s="75"/>
      <c r="H336" s="59" t="str">
        <f t="shared" si="35"/>
        <v/>
      </c>
      <c r="I336" s="64"/>
      <c r="J336" s="64"/>
      <c r="K336" s="64"/>
      <c r="M336" t="str">
        <f t="shared" si="36"/>
        <v/>
      </c>
      <c r="N336" t="str">
        <f t="shared" si="37"/>
        <v/>
      </c>
    </row>
    <row r="337" spans="1:14">
      <c r="A337" s="59" t="str">
        <f>IF(C337="","",VLOOKUP('Opći dio'!$C$3,'Opći dio'!$L$6:$U$135,10,0))</f>
        <v/>
      </c>
      <c r="B337" s="59" t="str">
        <f>IF(C337="","",VLOOKUP('Opći dio'!$C$3,'Opći dio'!$L$6:$U$135,9,0))</f>
        <v/>
      </c>
      <c r="C337" s="74"/>
      <c r="D337" s="59" t="str">
        <f t="shared" si="33"/>
        <v/>
      </c>
      <c r="E337" s="74"/>
      <c r="F337" s="59" t="str">
        <f t="shared" si="34"/>
        <v/>
      </c>
      <c r="G337" s="75"/>
      <c r="H337" s="59" t="str">
        <f t="shared" si="35"/>
        <v/>
      </c>
      <c r="I337" s="64"/>
      <c r="J337" s="64"/>
      <c r="K337" s="64"/>
      <c r="M337" t="str">
        <f t="shared" si="36"/>
        <v/>
      </c>
      <c r="N337" t="str">
        <f t="shared" si="37"/>
        <v/>
      </c>
    </row>
    <row r="338" spans="1:14">
      <c r="A338" s="59" t="str">
        <f>IF(C338="","",VLOOKUP('Opći dio'!$C$3,'Opći dio'!$L$6:$U$135,10,0))</f>
        <v/>
      </c>
      <c r="B338" s="59" t="str">
        <f>IF(C338="","",VLOOKUP('Opći dio'!$C$3,'Opći dio'!$L$6:$U$135,9,0))</f>
        <v/>
      </c>
      <c r="C338" s="74"/>
      <c r="D338" s="59" t="str">
        <f t="shared" si="33"/>
        <v/>
      </c>
      <c r="E338" s="74"/>
      <c r="F338" s="59" t="str">
        <f t="shared" si="34"/>
        <v/>
      </c>
      <c r="G338" s="75"/>
      <c r="H338" s="59" t="str">
        <f t="shared" si="35"/>
        <v/>
      </c>
      <c r="I338" s="64"/>
      <c r="J338" s="64"/>
      <c r="K338" s="64"/>
      <c r="M338" t="str">
        <f t="shared" si="36"/>
        <v/>
      </c>
      <c r="N338" t="str">
        <f t="shared" si="37"/>
        <v/>
      </c>
    </row>
    <row r="339" spans="1:14">
      <c r="A339" s="59" t="str">
        <f>IF(C339="","",VLOOKUP('Opći dio'!$C$3,'Opći dio'!$L$6:$U$135,10,0))</f>
        <v/>
      </c>
      <c r="B339" s="59" t="str">
        <f>IF(C339="","",VLOOKUP('Opći dio'!$C$3,'Opći dio'!$L$6:$U$135,9,0))</f>
        <v/>
      </c>
      <c r="C339" s="74"/>
      <c r="D339" s="59" t="str">
        <f t="shared" si="33"/>
        <v/>
      </c>
      <c r="E339" s="74"/>
      <c r="F339" s="59" t="str">
        <f t="shared" si="34"/>
        <v/>
      </c>
      <c r="G339" s="75"/>
      <c r="H339" s="59" t="str">
        <f t="shared" si="35"/>
        <v/>
      </c>
      <c r="I339" s="64"/>
      <c r="J339" s="64"/>
      <c r="K339" s="64"/>
      <c r="M339" t="str">
        <f t="shared" si="36"/>
        <v/>
      </c>
      <c r="N339" t="str">
        <f t="shared" si="37"/>
        <v/>
      </c>
    </row>
    <row r="340" spans="1:14">
      <c r="A340" s="59" t="str">
        <f>IF(C340="","",VLOOKUP('Opći dio'!$C$3,'Opći dio'!$L$6:$U$135,10,0))</f>
        <v/>
      </c>
      <c r="B340" s="59" t="str">
        <f>IF(C340="","",VLOOKUP('Opći dio'!$C$3,'Opći dio'!$L$6:$U$135,9,0))</f>
        <v/>
      </c>
      <c r="C340" s="74"/>
      <c r="D340" s="59" t="str">
        <f t="shared" si="33"/>
        <v/>
      </c>
      <c r="E340" s="74"/>
      <c r="F340" s="59" t="str">
        <f t="shared" si="34"/>
        <v/>
      </c>
      <c r="G340" s="75"/>
      <c r="H340" s="59" t="str">
        <f t="shared" si="35"/>
        <v/>
      </c>
      <c r="I340" s="64"/>
      <c r="J340" s="64"/>
      <c r="K340" s="64"/>
      <c r="M340" t="str">
        <f t="shared" si="36"/>
        <v/>
      </c>
      <c r="N340" t="str">
        <f t="shared" si="37"/>
        <v/>
      </c>
    </row>
    <row r="341" spans="1:14">
      <c r="A341" s="59" t="str">
        <f>IF(C341="","",VLOOKUP('Opći dio'!$C$3,'Opći dio'!$L$6:$U$135,10,0))</f>
        <v/>
      </c>
      <c r="B341" s="59" t="str">
        <f>IF(C341="","",VLOOKUP('Opći dio'!$C$3,'Opći dio'!$L$6:$U$135,9,0))</f>
        <v/>
      </c>
      <c r="C341" s="74"/>
      <c r="D341" s="59" t="str">
        <f t="shared" si="33"/>
        <v/>
      </c>
      <c r="E341" s="74"/>
      <c r="F341" s="59" t="str">
        <f t="shared" si="34"/>
        <v/>
      </c>
      <c r="G341" s="75"/>
      <c r="H341" s="59" t="str">
        <f t="shared" si="35"/>
        <v/>
      </c>
      <c r="I341" s="64"/>
      <c r="J341" s="64"/>
      <c r="K341" s="64"/>
      <c r="M341" t="str">
        <f t="shared" si="36"/>
        <v/>
      </c>
      <c r="N341" t="str">
        <f t="shared" si="37"/>
        <v/>
      </c>
    </row>
    <row r="342" spans="1:14">
      <c r="A342" s="59" t="str">
        <f>IF(C342="","",VLOOKUP('Opći dio'!$C$3,'Opći dio'!$L$6:$U$135,10,0))</f>
        <v/>
      </c>
      <c r="B342" s="59" t="str">
        <f>IF(C342="","",VLOOKUP('Opći dio'!$C$3,'Opći dio'!$L$6:$U$135,9,0))</f>
        <v/>
      </c>
      <c r="C342" s="74"/>
      <c r="D342" s="59" t="str">
        <f t="shared" si="33"/>
        <v/>
      </c>
      <c r="E342" s="74"/>
      <c r="F342" s="59" t="str">
        <f t="shared" si="34"/>
        <v/>
      </c>
      <c r="G342" s="75"/>
      <c r="H342" s="59" t="str">
        <f t="shared" si="35"/>
        <v/>
      </c>
      <c r="I342" s="64"/>
      <c r="J342" s="64"/>
      <c r="K342" s="64"/>
      <c r="M342" t="str">
        <f t="shared" si="36"/>
        <v/>
      </c>
      <c r="N342" t="str">
        <f t="shared" si="37"/>
        <v/>
      </c>
    </row>
    <row r="343" spans="1:14">
      <c r="A343" s="59" t="str">
        <f>IF(C343="","",VLOOKUP('Opći dio'!$C$3,'Opći dio'!$L$6:$U$135,10,0))</f>
        <v/>
      </c>
      <c r="B343" s="59" t="str">
        <f>IF(C343="","",VLOOKUP('Opći dio'!$C$3,'Opći dio'!$L$6:$U$135,9,0))</f>
        <v/>
      </c>
      <c r="C343" s="74"/>
      <c r="D343" s="59" t="str">
        <f t="shared" si="33"/>
        <v/>
      </c>
      <c r="E343" s="74"/>
      <c r="F343" s="59" t="str">
        <f t="shared" si="34"/>
        <v/>
      </c>
      <c r="G343" s="75"/>
      <c r="H343" s="59" t="str">
        <f t="shared" si="35"/>
        <v/>
      </c>
      <c r="I343" s="64"/>
      <c r="J343" s="64"/>
      <c r="K343" s="64"/>
      <c r="M343" t="str">
        <f t="shared" si="36"/>
        <v/>
      </c>
      <c r="N343" t="str">
        <f t="shared" si="37"/>
        <v/>
      </c>
    </row>
    <row r="344" spans="1:14">
      <c r="A344" s="59" t="str">
        <f>IF(C344="","",VLOOKUP('Opći dio'!$C$3,'Opći dio'!$L$6:$U$135,10,0))</f>
        <v/>
      </c>
      <c r="B344" s="59" t="str">
        <f>IF(C344="","",VLOOKUP('Opći dio'!$C$3,'Opći dio'!$L$6:$U$135,9,0))</f>
        <v/>
      </c>
      <c r="C344" s="74"/>
      <c r="D344" s="59" t="str">
        <f t="shared" si="33"/>
        <v/>
      </c>
      <c r="E344" s="74"/>
      <c r="F344" s="59" t="str">
        <f t="shared" si="34"/>
        <v/>
      </c>
      <c r="G344" s="75"/>
      <c r="H344" s="59" t="str">
        <f t="shared" si="35"/>
        <v/>
      </c>
      <c r="I344" s="64"/>
      <c r="J344" s="64"/>
      <c r="K344" s="64"/>
      <c r="M344" t="str">
        <f t="shared" si="36"/>
        <v/>
      </c>
      <c r="N344" t="str">
        <f t="shared" si="37"/>
        <v/>
      </c>
    </row>
    <row r="345" spans="1:14">
      <c r="A345" s="59" t="str">
        <f>IF(C345="","",VLOOKUP('Opći dio'!$C$3,'Opći dio'!$L$6:$U$135,10,0))</f>
        <v/>
      </c>
      <c r="B345" s="59" t="str">
        <f>IF(C345="","",VLOOKUP('Opći dio'!$C$3,'Opći dio'!$L$6:$U$135,9,0))</f>
        <v/>
      </c>
      <c r="C345" s="74"/>
      <c r="D345" s="59" t="str">
        <f t="shared" si="33"/>
        <v/>
      </c>
      <c r="E345" s="74"/>
      <c r="F345" s="59" t="str">
        <f t="shared" si="34"/>
        <v/>
      </c>
      <c r="G345" s="75"/>
      <c r="H345" s="59" t="str">
        <f t="shared" si="35"/>
        <v/>
      </c>
      <c r="I345" s="64"/>
      <c r="J345" s="64"/>
      <c r="K345" s="64"/>
      <c r="M345" t="str">
        <f t="shared" si="36"/>
        <v/>
      </c>
      <c r="N345" t="str">
        <f t="shared" si="37"/>
        <v/>
      </c>
    </row>
    <row r="346" spans="1:14">
      <c r="A346" s="59" t="str">
        <f>IF(C346="","",VLOOKUP('Opći dio'!$C$3,'Opći dio'!$L$6:$U$135,10,0))</f>
        <v/>
      </c>
      <c r="B346" s="59" t="str">
        <f>IF(C346="","",VLOOKUP('Opći dio'!$C$3,'Opći dio'!$L$6:$U$135,9,0))</f>
        <v/>
      </c>
      <c r="C346" s="74"/>
      <c r="D346" s="59" t="str">
        <f t="shared" si="33"/>
        <v/>
      </c>
      <c r="E346" s="74"/>
      <c r="F346" s="59" t="str">
        <f t="shared" si="34"/>
        <v/>
      </c>
      <c r="G346" s="75"/>
      <c r="H346" s="59" t="str">
        <f t="shared" si="35"/>
        <v/>
      </c>
      <c r="I346" s="64"/>
      <c r="J346" s="64"/>
      <c r="K346" s="64"/>
      <c r="M346" t="str">
        <f t="shared" si="36"/>
        <v/>
      </c>
      <c r="N346" t="str">
        <f t="shared" si="37"/>
        <v/>
      </c>
    </row>
    <row r="347" spans="1:14">
      <c r="A347" s="59" t="str">
        <f>IF(C347="","",VLOOKUP('Opći dio'!$C$3,'Opći dio'!$L$6:$U$135,10,0))</f>
        <v/>
      </c>
      <c r="B347" s="59" t="str">
        <f>IF(C347="","",VLOOKUP('Opći dio'!$C$3,'Opći dio'!$L$6:$U$135,9,0))</f>
        <v/>
      </c>
      <c r="C347" s="74"/>
      <c r="D347" s="59" t="str">
        <f t="shared" si="33"/>
        <v/>
      </c>
      <c r="E347" s="74"/>
      <c r="F347" s="59" t="str">
        <f t="shared" si="34"/>
        <v/>
      </c>
      <c r="G347" s="75"/>
      <c r="H347" s="59" t="str">
        <f t="shared" si="35"/>
        <v/>
      </c>
      <c r="I347" s="64"/>
      <c r="J347" s="64"/>
      <c r="K347" s="64"/>
      <c r="M347" t="str">
        <f t="shared" si="36"/>
        <v/>
      </c>
      <c r="N347" t="str">
        <f t="shared" si="37"/>
        <v/>
      </c>
    </row>
    <row r="348" spans="1:14">
      <c r="A348" s="59" t="str">
        <f>IF(C348="","",VLOOKUP('Opći dio'!$C$3,'Opći dio'!$L$6:$U$135,10,0))</f>
        <v/>
      </c>
      <c r="B348" s="59" t="str">
        <f>IF(C348="","",VLOOKUP('Opći dio'!$C$3,'Opći dio'!$L$6:$U$135,9,0))</f>
        <v/>
      </c>
      <c r="C348" s="74"/>
      <c r="D348" s="59" t="str">
        <f t="shared" si="33"/>
        <v/>
      </c>
      <c r="E348" s="74"/>
      <c r="F348" s="59" t="str">
        <f t="shared" si="34"/>
        <v/>
      </c>
      <c r="G348" s="75"/>
      <c r="H348" s="59" t="str">
        <f t="shared" si="35"/>
        <v/>
      </c>
      <c r="I348" s="64"/>
      <c r="J348" s="64"/>
      <c r="K348" s="64"/>
      <c r="M348" t="str">
        <f t="shared" si="36"/>
        <v/>
      </c>
      <c r="N348" t="str">
        <f t="shared" si="37"/>
        <v/>
      </c>
    </row>
    <row r="349" spans="1:14">
      <c r="A349" s="59" t="str">
        <f>IF(C349="","",VLOOKUP('Opći dio'!$C$3,'Opći dio'!$L$6:$U$135,10,0))</f>
        <v/>
      </c>
      <c r="B349" s="59" t="str">
        <f>IF(C349="","",VLOOKUP('Opći dio'!$C$3,'Opći dio'!$L$6:$U$135,9,0))</f>
        <v/>
      </c>
      <c r="C349" s="74"/>
      <c r="D349" s="59" t="str">
        <f t="shared" si="33"/>
        <v/>
      </c>
      <c r="E349" s="74"/>
      <c r="F349" s="59" t="str">
        <f t="shared" si="34"/>
        <v/>
      </c>
      <c r="G349" s="75"/>
      <c r="H349" s="59" t="str">
        <f t="shared" si="35"/>
        <v/>
      </c>
      <c r="I349" s="64"/>
      <c r="J349" s="64"/>
      <c r="K349" s="64"/>
      <c r="M349" t="str">
        <f t="shared" si="36"/>
        <v/>
      </c>
      <c r="N349" t="str">
        <f t="shared" si="37"/>
        <v/>
      </c>
    </row>
    <row r="350" spans="1:14">
      <c r="A350" s="59" t="str">
        <f>IF(C350="","",VLOOKUP('Opći dio'!$C$3,'Opći dio'!$L$6:$U$135,10,0))</f>
        <v/>
      </c>
      <c r="B350" s="59" t="str">
        <f>IF(C350="","",VLOOKUP('Opći dio'!$C$3,'Opći dio'!$L$6:$U$135,9,0))</f>
        <v/>
      </c>
      <c r="C350" s="74"/>
      <c r="D350" s="59" t="str">
        <f t="shared" si="33"/>
        <v/>
      </c>
      <c r="E350" s="74"/>
      <c r="F350" s="59" t="str">
        <f t="shared" si="34"/>
        <v/>
      </c>
      <c r="G350" s="75"/>
      <c r="H350" s="59" t="str">
        <f t="shared" si="35"/>
        <v/>
      </c>
      <c r="I350" s="64"/>
      <c r="J350" s="64"/>
      <c r="K350" s="64"/>
      <c r="M350" t="str">
        <f t="shared" si="36"/>
        <v/>
      </c>
      <c r="N350" t="str">
        <f t="shared" si="37"/>
        <v/>
      </c>
    </row>
    <row r="351" spans="1:14">
      <c r="A351" s="59" t="str">
        <f>IF(C351="","",VLOOKUP('Opći dio'!$C$3,'Opći dio'!$L$6:$U$135,10,0))</f>
        <v/>
      </c>
      <c r="B351" s="59" t="str">
        <f>IF(C351="","",VLOOKUP('Opći dio'!$C$3,'Opći dio'!$L$6:$U$135,9,0))</f>
        <v/>
      </c>
      <c r="C351" s="74"/>
      <c r="D351" s="59" t="str">
        <f t="shared" si="33"/>
        <v/>
      </c>
      <c r="E351" s="74"/>
      <c r="F351" s="59" t="str">
        <f t="shared" si="34"/>
        <v/>
      </c>
      <c r="G351" s="75"/>
      <c r="H351" s="59" t="str">
        <f t="shared" si="35"/>
        <v/>
      </c>
      <c r="I351" s="64"/>
      <c r="J351" s="64"/>
      <c r="K351" s="64"/>
      <c r="M351" t="str">
        <f t="shared" si="36"/>
        <v/>
      </c>
      <c r="N351" t="str">
        <f t="shared" si="37"/>
        <v/>
      </c>
    </row>
    <row r="352" spans="1:14">
      <c r="A352" s="59" t="str">
        <f>IF(C352="","",VLOOKUP('Opći dio'!$C$3,'Opći dio'!$L$6:$U$135,10,0))</f>
        <v/>
      </c>
      <c r="B352" s="59" t="str">
        <f>IF(C352="","",VLOOKUP('Opći dio'!$C$3,'Opći dio'!$L$6:$U$135,9,0))</f>
        <v/>
      </c>
      <c r="C352" s="74"/>
      <c r="D352" s="59" t="str">
        <f t="shared" si="33"/>
        <v/>
      </c>
      <c r="E352" s="74"/>
      <c r="F352" s="59" t="str">
        <f t="shared" si="34"/>
        <v/>
      </c>
      <c r="G352" s="75"/>
      <c r="H352" s="59" t="str">
        <f t="shared" si="35"/>
        <v/>
      </c>
      <c r="I352" s="64"/>
      <c r="J352" s="64"/>
      <c r="K352" s="64"/>
      <c r="M352" t="str">
        <f t="shared" si="36"/>
        <v/>
      </c>
      <c r="N352" t="str">
        <f t="shared" si="37"/>
        <v/>
      </c>
    </row>
    <row r="353" spans="1:14">
      <c r="A353" s="59" t="str">
        <f>IF(C353="","",VLOOKUP('Opći dio'!$C$3,'Opći dio'!$L$6:$U$135,10,0))</f>
        <v/>
      </c>
      <c r="B353" s="59" t="str">
        <f>IF(C353="","",VLOOKUP('Opći dio'!$C$3,'Opći dio'!$L$6:$U$135,9,0))</f>
        <v/>
      </c>
      <c r="C353" s="74"/>
      <c r="D353" s="59" t="str">
        <f t="shared" si="33"/>
        <v/>
      </c>
      <c r="E353" s="74"/>
      <c r="F353" s="59" t="str">
        <f t="shared" si="34"/>
        <v/>
      </c>
      <c r="G353" s="75"/>
      <c r="H353" s="59" t="str">
        <f t="shared" si="35"/>
        <v/>
      </c>
      <c r="I353" s="64"/>
      <c r="J353" s="64"/>
      <c r="K353" s="64"/>
      <c r="M353" t="str">
        <f t="shared" si="36"/>
        <v/>
      </c>
      <c r="N353" t="str">
        <f t="shared" si="37"/>
        <v/>
      </c>
    </row>
    <row r="354" spans="1:14">
      <c r="A354" s="59" t="str">
        <f>IF(C354="","",VLOOKUP('Opći dio'!$C$3,'Opći dio'!$L$6:$U$135,10,0))</f>
        <v/>
      </c>
      <c r="B354" s="59" t="str">
        <f>IF(C354="","",VLOOKUP('Opći dio'!$C$3,'Opći dio'!$L$6:$U$135,9,0))</f>
        <v/>
      </c>
      <c r="C354" s="74"/>
      <c r="D354" s="59" t="str">
        <f t="shared" si="33"/>
        <v/>
      </c>
      <c r="E354" s="74"/>
      <c r="F354" s="59" t="str">
        <f t="shared" si="34"/>
        <v/>
      </c>
      <c r="G354" s="75"/>
      <c r="H354" s="59" t="str">
        <f t="shared" si="35"/>
        <v/>
      </c>
      <c r="I354" s="64"/>
      <c r="J354" s="64"/>
      <c r="K354" s="64"/>
      <c r="M354" t="str">
        <f t="shared" si="36"/>
        <v/>
      </c>
      <c r="N354" t="str">
        <f t="shared" si="37"/>
        <v/>
      </c>
    </row>
    <row r="355" spans="1:14">
      <c r="A355" s="59" t="str">
        <f>IF(C355="","",VLOOKUP('Opći dio'!$C$3,'Opći dio'!$L$6:$U$135,10,0))</f>
        <v/>
      </c>
      <c r="B355" s="59" t="str">
        <f>IF(C355="","",VLOOKUP('Opći dio'!$C$3,'Opći dio'!$L$6:$U$135,9,0))</f>
        <v/>
      </c>
      <c r="C355" s="74"/>
      <c r="D355" s="59" t="str">
        <f t="shared" si="33"/>
        <v/>
      </c>
      <c r="E355" s="74"/>
      <c r="F355" s="59" t="str">
        <f t="shared" si="34"/>
        <v/>
      </c>
      <c r="G355" s="75"/>
      <c r="H355" s="59" t="str">
        <f t="shared" si="35"/>
        <v/>
      </c>
      <c r="I355" s="64"/>
      <c r="J355" s="64"/>
      <c r="K355" s="64"/>
      <c r="M355" t="str">
        <f t="shared" si="36"/>
        <v/>
      </c>
      <c r="N355" t="str">
        <f t="shared" si="37"/>
        <v/>
      </c>
    </row>
    <row r="356" spans="1:14">
      <c r="A356" s="59" t="str">
        <f>IF(C356="","",VLOOKUP('Opći dio'!$C$3,'Opći dio'!$L$6:$U$135,10,0))</f>
        <v/>
      </c>
      <c r="B356" s="59" t="str">
        <f>IF(C356="","",VLOOKUP('Opći dio'!$C$3,'Opći dio'!$L$6:$U$135,9,0))</f>
        <v/>
      </c>
      <c r="C356" s="74"/>
      <c r="D356" s="59" t="str">
        <f t="shared" si="33"/>
        <v/>
      </c>
      <c r="E356" s="74"/>
      <c r="F356" s="59" t="str">
        <f t="shared" si="34"/>
        <v/>
      </c>
      <c r="G356" s="75"/>
      <c r="H356" s="59" t="str">
        <f t="shared" si="35"/>
        <v/>
      </c>
      <c r="I356" s="64"/>
      <c r="J356" s="64"/>
      <c r="K356" s="64"/>
      <c r="M356" t="str">
        <f t="shared" si="36"/>
        <v/>
      </c>
      <c r="N356" t="str">
        <f t="shared" si="37"/>
        <v/>
      </c>
    </row>
    <row r="357" spans="1:14">
      <c r="A357" s="59" t="str">
        <f>IF(C357="","",VLOOKUP('Opći dio'!$C$3,'Opći dio'!$L$6:$U$135,10,0))</f>
        <v/>
      </c>
      <c r="B357" s="59" t="str">
        <f>IF(C357="","",VLOOKUP('Opći dio'!$C$3,'Opći dio'!$L$6:$U$135,9,0))</f>
        <v/>
      </c>
      <c r="C357" s="74"/>
      <c r="D357" s="59" t="str">
        <f t="shared" si="33"/>
        <v/>
      </c>
      <c r="E357" s="74"/>
      <c r="F357" s="59" t="str">
        <f t="shared" si="34"/>
        <v/>
      </c>
      <c r="G357" s="75"/>
      <c r="H357" s="59" t="str">
        <f t="shared" si="35"/>
        <v/>
      </c>
      <c r="I357" s="64"/>
      <c r="J357" s="64"/>
      <c r="K357" s="64"/>
      <c r="M357" t="str">
        <f t="shared" si="36"/>
        <v/>
      </c>
      <c r="N357" t="str">
        <f t="shared" si="37"/>
        <v/>
      </c>
    </row>
    <row r="358" spans="1:14">
      <c r="A358" s="59" t="str">
        <f>IF(C358="","",VLOOKUP('Opći dio'!$C$3,'Opći dio'!$L$6:$U$135,10,0))</f>
        <v/>
      </c>
      <c r="B358" s="59" t="str">
        <f>IF(C358="","",VLOOKUP('Opći dio'!$C$3,'Opći dio'!$L$6:$U$135,9,0))</f>
        <v/>
      </c>
      <c r="C358" s="74"/>
      <c r="D358" s="59" t="str">
        <f t="shared" si="33"/>
        <v/>
      </c>
      <c r="E358" s="74"/>
      <c r="F358" s="59" t="str">
        <f t="shared" si="34"/>
        <v/>
      </c>
      <c r="G358" s="75"/>
      <c r="H358" s="59" t="str">
        <f t="shared" si="35"/>
        <v/>
      </c>
      <c r="I358" s="64"/>
      <c r="J358" s="64"/>
      <c r="K358" s="64"/>
      <c r="M358" t="str">
        <f t="shared" si="36"/>
        <v/>
      </c>
      <c r="N358" t="str">
        <f t="shared" si="37"/>
        <v/>
      </c>
    </row>
    <row r="359" spans="1:14">
      <c r="A359" s="59" t="str">
        <f>IF(C359="","",VLOOKUP('Opći dio'!$C$3,'Opći dio'!$L$6:$U$135,10,0))</f>
        <v/>
      </c>
      <c r="B359" s="59" t="str">
        <f>IF(C359="","",VLOOKUP('Opći dio'!$C$3,'Opći dio'!$L$6:$U$135,9,0))</f>
        <v/>
      </c>
      <c r="C359" s="74"/>
      <c r="D359" s="59" t="str">
        <f t="shared" si="33"/>
        <v/>
      </c>
      <c r="E359" s="74"/>
      <c r="F359" s="59" t="str">
        <f t="shared" si="34"/>
        <v/>
      </c>
      <c r="G359" s="75"/>
      <c r="H359" s="59" t="str">
        <f t="shared" si="35"/>
        <v/>
      </c>
      <c r="I359" s="64"/>
      <c r="J359" s="64"/>
      <c r="K359" s="64"/>
      <c r="M359" t="str">
        <f t="shared" si="36"/>
        <v/>
      </c>
      <c r="N359" t="str">
        <f t="shared" si="37"/>
        <v/>
      </c>
    </row>
    <row r="360" spans="1:14">
      <c r="A360" s="59" t="str">
        <f>IF(C360="","",VLOOKUP('Opći dio'!$C$3,'Opći dio'!$L$6:$U$135,10,0))</f>
        <v/>
      </c>
      <c r="B360" s="59" t="str">
        <f>IF(C360="","",VLOOKUP('Opći dio'!$C$3,'Opći dio'!$L$6:$U$135,9,0))</f>
        <v/>
      </c>
      <c r="C360" s="74"/>
      <c r="D360" s="59" t="str">
        <f t="shared" si="33"/>
        <v/>
      </c>
      <c r="E360" s="74"/>
      <c r="F360" s="59" t="str">
        <f t="shared" si="34"/>
        <v/>
      </c>
      <c r="G360" s="75"/>
      <c r="H360" s="59" t="str">
        <f t="shared" si="35"/>
        <v/>
      </c>
      <c r="I360" s="64"/>
      <c r="J360" s="64"/>
      <c r="K360" s="64"/>
      <c r="M360" t="str">
        <f t="shared" si="36"/>
        <v/>
      </c>
      <c r="N360" t="str">
        <f t="shared" si="37"/>
        <v/>
      </c>
    </row>
    <row r="361" spans="1:14">
      <c r="A361" s="59" t="str">
        <f>IF(C361="","",VLOOKUP('Opći dio'!$C$3,'Opći dio'!$L$6:$U$135,10,0))</f>
        <v/>
      </c>
      <c r="B361" s="59" t="str">
        <f>IF(C361="","",VLOOKUP('Opći dio'!$C$3,'Opći dio'!$L$6:$U$135,9,0))</f>
        <v/>
      </c>
      <c r="C361" s="74"/>
      <c r="D361" s="59" t="str">
        <f t="shared" si="33"/>
        <v/>
      </c>
      <c r="E361" s="74"/>
      <c r="F361" s="59" t="str">
        <f t="shared" si="34"/>
        <v/>
      </c>
      <c r="G361" s="75"/>
      <c r="H361" s="59" t="str">
        <f t="shared" si="35"/>
        <v/>
      </c>
      <c r="I361" s="64"/>
      <c r="J361" s="64"/>
      <c r="K361" s="64"/>
      <c r="M361" t="str">
        <f t="shared" si="36"/>
        <v/>
      </c>
      <c r="N361" t="str">
        <f t="shared" si="37"/>
        <v/>
      </c>
    </row>
    <row r="362" spans="1:14">
      <c r="A362" s="59" t="str">
        <f>IF(C362="","",VLOOKUP('Opći dio'!$C$3,'Opći dio'!$L$6:$U$135,10,0))</f>
        <v/>
      </c>
      <c r="B362" s="59" t="str">
        <f>IF(C362="","",VLOOKUP('Opći dio'!$C$3,'Opći dio'!$L$6:$U$135,9,0))</f>
        <v/>
      </c>
      <c r="C362" s="74"/>
      <c r="D362" s="59" t="str">
        <f t="shared" si="33"/>
        <v/>
      </c>
      <c r="E362" s="74"/>
      <c r="F362" s="59" t="str">
        <f t="shared" si="34"/>
        <v/>
      </c>
      <c r="G362" s="75"/>
      <c r="H362" s="59" t="str">
        <f t="shared" si="35"/>
        <v/>
      </c>
      <c r="I362" s="64"/>
      <c r="J362" s="64"/>
      <c r="K362" s="64"/>
      <c r="M362" t="str">
        <f t="shared" si="36"/>
        <v/>
      </c>
      <c r="N362" t="str">
        <f t="shared" si="37"/>
        <v/>
      </c>
    </row>
    <row r="363" spans="1:14">
      <c r="A363" s="59" t="str">
        <f>IF(C363="","",VLOOKUP('Opći dio'!$C$3,'Opći dio'!$L$6:$U$135,10,0))</f>
        <v/>
      </c>
      <c r="B363" s="59" t="str">
        <f>IF(C363="","",VLOOKUP('Opći dio'!$C$3,'Opći dio'!$L$6:$U$135,9,0))</f>
        <v/>
      </c>
      <c r="C363" s="74"/>
      <c r="D363" s="59" t="str">
        <f t="shared" si="33"/>
        <v/>
      </c>
      <c r="E363" s="74"/>
      <c r="F363" s="59" t="str">
        <f t="shared" si="34"/>
        <v/>
      </c>
      <c r="G363" s="75"/>
      <c r="H363" s="59" t="str">
        <f t="shared" si="35"/>
        <v/>
      </c>
      <c r="I363" s="64"/>
      <c r="J363" s="64"/>
      <c r="K363" s="64"/>
      <c r="M363" t="str">
        <f t="shared" si="36"/>
        <v/>
      </c>
      <c r="N363" t="str">
        <f t="shared" si="37"/>
        <v/>
      </c>
    </row>
    <row r="364" spans="1:14">
      <c r="A364" s="59" t="str">
        <f>IF(C364="","",VLOOKUP('Opći dio'!$C$3,'Opći dio'!$L$6:$U$135,10,0))</f>
        <v/>
      </c>
      <c r="B364" s="59" t="str">
        <f>IF(C364="","",VLOOKUP('Opći dio'!$C$3,'Opći dio'!$L$6:$U$135,9,0))</f>
        <v/>
      </c>
      <c r="C364" s="74"/>
      <c r="D364" s="59" t="str">
        <f t="shared" si="33"/>
        <v/>
      </c>
      <c r="E364" s="74"/>
      <c r="F364" s="59" t="str">
        <f t="shared" si="34"/>
        <v/>
      </c>
      <c r="G364" s="75"/>
      <c r="H364" s="59" t="str">
        <f t="shared" si="35"/>
        <v/>
      </c>
      <c r="I364" s="64"/>
      <c r="J364" s="64"/>
      <c r="K364" s="64"/>
      <c r="M364" t="str">
        <f t="shared" si="36"/>
        <v/>
      </c>
      <c r="N364" t="str">
        <f t="shared" si="37"/>
        <v/>
      </c>
    </row>
    <row r="365" spans="1:14">
      <c r="A365" s="59" t="str">
        <f>IF(C365="","",VLOOKUP('Opći dio'!$C$3,'Opći dio'!$L$6:$U$135,10,0))</f>
        <v/>
      </c>
      <c r="B365" s="59" t="str">
        <f>IF(C365="","",VLOOKUP('Opći dio'!$C$3,'Opći dio'!$L$6:$U$135,9,0))</f>
        <v/>
      </c>
      <c r="C365" s="74"/>
      <c r="D365" s="59" t="str">
        <f t="shared" si="33"/>
        <v/>
      </c>
      <c r="E365" s="74"/>
      <c r="F365" s="59" t="str">
        <f t="shared" si="34"/>
        <v/>
      </c>
      <c r="G365" s="75"/>
      <c r="H365" s="59" t="str">
        <f t="shared" si="35"/>
        <v/>
      </c>
      <c r="I365" s="64"/>
      <c r="J365" s="64"/>
      <c r="K365" s="64"/>
      <c r="M365" t="str">
        <f t="shared" si="36"/>
        <v/>
      </c>
      <c r="N365" t="str">
        <f t="shared" si="37"/>
        <v/>
      </c>
    </row>
    <row r="366" spans="1:14">
      <c r="A366" s="59" t="str">
        <f>IF(C366="","",VLOOKUP('Opći dio'!$C$3,'Opći dio'!$L$6:$U$135,10,0))</f>
        <v/>
      </c>
      <c r="B366" s="59" t="str">
        <f>IF(C366="","",VLOOKUP('Opći dio'!$C$3,'Opći dio'!$L$6:$U$135,9,0))</f>
        <v/>
      </c>
      <c r="C366" s="74"/>
      <c r="D366" s="59" t="str">
        <f t="shared" si="33"/>
        <v/>
      </c>
      <c r="E366" s="74"/>
      <c r="F366" s="59" t="str">
        <f t="shared" si="34"/>
        <v/>
      </c>
      <c r="G366" s="75"/>
      <c r="H366" s="59" t="str">
        <f t="shared" si="35"/>
        <v/>
      </c>
      <c r="I366" s="64"/>
      <c r="J366" s="64"/>
      <c r="K366" s="64"/>
      <c r="M366" t="str">
        <f t="shared" si="36"/>
        <v/>
      </c>
      <c r="N366" t="str">
        <f t="shared" si="37"/>
        <v/>
      </c>
    </row>
    <row r="367" spans="1:14">
      <c r="A367" s="59" t="str">
        <f>IF(C367="","",VLOOKUP('Opći dio'!$C$3,'Opći dio'!$L$6:$U$135,10,0))</f>
        <v/>
      </c>
      <c r="B367" s="59" t="str">
        <f>IF(C367="","",VLOOKUP('Opći dio'!$C$3,'Opći dio'!$L$6:$U$135,9,0))</f>
        <v/>
      </c>
      <c r="C367" s="74"/>
      <c r="D367" s="59" t="str">
        <f t="shared" si="33"/>
        <v/>
      </c>
      <c r="E367" s="74"/>
      <c r="F367" s="59" t="str">
        <f t="shared" si="34"/>
        <v/>
      </c>
      <c r="G367" s="75"/>
      <c r="H367" s="59" t="str">
        <f t="shared" si="35"/>
        <v/>
      </c>
      <c r="I367" s="64"/>
      <c r="J367" s="64"/>
      <c r="K367" s="64"/>
      <c r="M367" t="str">
        <f t="shared" si="36"/>
        <v/>
      </c>
      <c r="N367" t="str">
        <f t="shared" si="37"/>
        <v/>
      </c>
    </row>
    <row r="368" spans="1:14">
      <c r="A368" s="59" t="str">
        <f>IF(C368="","",VLOOKUP('Opći dio'!$C$3,'Opći dio'!$L$6:$U$135,10,0))</f>
        <v/>
      </c>
      <c r="B368" s="59" t="str">
        <f>IF(C368="","",VLOOKUP('Opći dio'!$C$3,'Opći dio'!$L$6:$U$135,9,0))</f>
        <v/>
      </c>
      <c r="C368" s="74"/>
      <c r="D368" s="59" t="str">
        <f t="shared" si="33"/>
        <v/>
      </c>
      <c r="E368" s="74"/>
      <c r="F368" s="59" t="str">
        <f t="shared" si="34"/>
        <v/>
      </c>
      <c r="G368" s="75"/>
      <c r="H368" s="59" t="str">
        <f t="shared" si="35"/>
        <v/>
      </c>
      <c r="I368" s="64"/>
      <c r="J368" s="64"/>
      <c r="K368" s="64"/>
      <c r="M368" t="str">
        <f t="shared" si="36"/>
        <v/>
      </c>
      <c r="N368" t="str">
        <f t="shared" si="37"/>
        <v/>
      </c>
    </row>
    <row r="369" spans="1:14">
      <c r="A369" s="59" t="str">
        <f>IF(C369="","",VLOOKUP('Opći dio'!$C$3,'Opći dio'!$L$6:$U$135,10,0))</f>
        <v/>
      </c>
      <c r="B369" s="59" t="str">
        <f>IF(C369="","",VLOOKUP('Opći dio'!$C$3,'Opći dio'!$L$6:$U$135,9,0))</f>
        <v/>
      </c>
      <c r="C369" s="74"/>
      <c r="D369" s="59" t="str">
        <f t="shared" si="33"/>
        <v/>
      </c>
      <c r="E369" s="74"/>
      <c r="F369" s="59" t="str">
        <f t="shared" si="34"/>
        <v/>
      </c>
      <c r="G369" s="75"/>
      <c r="H369" s="59" t="str">
        <f t="shared" si="35"/>
        <v/>
      </c>
      <c r="I369" s="64"/>
      <c r="J369" s="64"/>
      <c r="K369" s="64"/>
      <c r="M369" t="str">
        <f t="shared" si="36"/>
        <v/>
      </c>
      <c r="N369" t="str">
        <f t="shared" si="37"/>
        <v/>
      </c>
    </row>
    <row r="370" spans="1:14">
      <c r="A370" s="59" t="str">
        <f>IF(C370="","",VLOOKUP('Opći dio'!$C$3,'Opći dio'!$L$6:$U$135,10,0))</f>
        <v/>
      </c>
      <c r="B370" s="59" t="str">
        <f>IF(C370="","",VLOOKUP('Opći dio'!$C$3,'Opći dio'!$L$6:$U$135,9,0))</f>
        <v/>
      </c>
      <c r="C370" s="74"/>
      <c r="D370" s="59" t="str">
        <f t="shared" si="33"/>
        <v/>
      </c>
      <c r="E370" s="74"/>
      <c r="F370" s="59" t="str">
        <f t="shared" si="34"/>
        <v/>
      </c>
      <c r="G370" s="75"/>
      <c r="H370" s="59" t="str">
        <f t="shared" si="35"/>
        <v/>
      </c>
      <c r="I370" s="64"/>
      <c r="J370" s="64"/>
      <c r="K370" s="64"/>
      <c r="M370" t="str">
        <f t="shared" si="36"/>
        <v/>
      </c>
      <c r="N370" t="str">
        <f t="shared" si="37"/>
        <v/>
      </c>
    </row>
    <row r="371" spans="1:14">
      <c r="A371" s="59" t="str">
        <f>IF(C371="","",VLOOKUP('Opći dio'!$C$3,'Opći dio'!$L$6:$U$135,10,0))</f>
        <v/>
      </c>
      <c r="B371" s="59" t="str">
        <f>IF(C371="","",VLOOKUP('Opći dio'!$C$3,'Opći dio'!$L$6:$U$135,9,0))</f>
        <v/>
      </c>
      <c r="C371" s="74"/>
      <c r="D371" s="59" t="str">
        <f t="shared" si="33"/>
        <v/>
      </c>
      <c r="E371" s="74"/>
      <c r="F371" s="59" t="str">
        <f t="shared" si="34"/>
        <v/>
      </c>
      <c r="G371" s="75"/>
      <c r="H371" s="59" t="str">
        <f t="shared" si="35"/>
        <v/>
      </c>
      <c r="I371" s="64"/>
      <c r="J371" s="64"/>
      <c r="K371" s="64"/>
      <c r="M371" t="str">
        <f t="shared" si="36"/>
        <v/>
      </c>
      <c r="N371" t="str">
        <f t="shared" si="37"/>
        <v/>
      </c>
    </row>
    <row r="372" spans="1:14">
      <c r="A372" s="59" t="str">
        <f>IF(C372="","",VLOOKUP('Opći dio'!$C$3,'Opći dio'!$L$6:$U$135,10,0))</f>
        <v/>
      </c>
      <c r="B372" s="59" t="str">
        <f>IF(C372="","",VLOOKUP('Opći dio'!$C$3,'Opći dio'!$L$6:$U$135,9,0))</f>
        <v/>
      </c>
      <c r="C372" s="74"/>
      <c r="D372" s="59" t="str">
        <f t="shared" si="33"/>
        <v/>
      </c>
      <c r="E372" s="74"/>
      <c r="F372" s="59" t="str">
        <f t="shared" si="34"/>
        <v/>
      </c>
      <c r="G372" s="75"/>
      <c r="H372" s="59" t="str">
        <f t="shared" si="35"/>
        <v/>
      </c>
      <c r="I372" s="64"/>
      <c r="J372" s="64"/>
      <c r="K372" s="64"/>
      <c r="M372" t="str">
        <f t="shared" si="36"/>
        <v/>
      </c>
      <c r="N372" t="str">
        <f t="shared" si="37"/>
        <v/>
      </c>
    </row>
    <row r="373" spans="1:14">
      <c r="A373" s="59" t="str">
        <f>IF(C373="","",VLOOKUP('Opći dio'!$C$3,'Opći dio'!$L$6:$U$135,10,0))</f>
        <v/>
      </c>
      <c r="B373" s="59" t="str">
        <f>IF(C373="","",VLOOKUP('Opći dio'!$C$3,'Opći dio'!$L$6:$U$135,9,0))</f>
        <v/>
      </c>
      <c r="C373" s="74"/>
      <c r="D373" s="59" t="str">
        <f t="shared" si="33"/>
        <v/>
      </c>
      <c r="E373" s="74"/>
      <c r="F373" s="59" t="str">
        <f t="shared" si="34"/>
        <v/>
      </c>
      <c r="G373" s="75"/>
      <c r="H373" s="59" t="str">
        <f t="shared" si="35"/>
        <v/>
      </c>
      <c r="I373" s="64"/>
      <c r="J373" s="64"/>
      <c r="K373" s="64"/>
      <c r="M373" t="str">
        <f t="shared" si="36"/>
        <v/>
      </c>
      <c r="N373" t="str">
        <f t="shared" si="37"/>
        <v/>
      </c>
    </row>
    <row r="374" spans="1:14">
      <c r="A374" s="59" t="str">
        <f>IF(C374="","",VLOOKUP('Opći dio'!$C$3,'Opći dio'!$L$6:$U$135,10,0))</f>
        <v/>
      </c>
      <c r="B374" s="59" t="str">
        <f>IF(C374="","",VLOOKUP('Opći dio'!$C$3,'Opći dio'!$L$6:$U$135,9,0))</f>
        <v/>
      </c>
      <c r="C374" s="74"/>
      <c r="D374" s="59" t="str">
        <f t="shared" si="33"/>
        <v/>
      </c>
      <c r="E374" s="74"/>
      <c r="F374" s="59" t="str">
        <f t="shared" si="34"/>
        <v/>
      </c>
      <c r="G374" s="75"/>
      <c r="H374" s="59" t="str">
        <f t="shared" si="35"/>
        <v/>
      </c>
      <c r="I374" s="64"/>
      <c r="J374" s="64"/>
      <c r="K374" s="64"/>
      <c r="M374" t="str">
        <f t="shared" si="36"/>
        <v/>
      </c>
      <c r="N374" t="str">
        <f t="shared" si="37"/>
        <v/>
      </c>
    </row>
    <row r="375" spans="1:14">
      <c r="A375" s="59" t="str">
        <f>IF(C375="","",VLOOKUP('Opći dio'!$C$3,'Opći dio'!$L$6:$U$135,10,0))</f>
        <v/>
      </c>
      <c r="B375" s="59" t="str">
        <f>IF(C375="","",VLOOKUP('Opći dio'!$C$3,'Opći dio'!$L$6:$U$135,9,0))</f>
        <v/>
      </c>
      <c r="C375" s="74"/>
      <c r="D375" s="59" t="str">
        <f t="shared" si="33"/>
        <v/>
      </c>
      <c r="E375" s="74"/>
      <c r="F375" s="59" t="str">
        <f t="shared" si="34"/>
        <v/>
      </c>
      <c r="G375" s="75"/>
      <c r="H375" s="59" t="str">
        <f t="shared" si="35"/>
        <v/>
      </c>
      <c r="I375" s="64"/>
      <c r="J375" s="64"/>
      <c r="K375" s="64"/>
      <c r="M375" t="str">
        <f t="shared" si="36"/>
        <v/>
      </c>
      <c r="N375" t="str">
        <f t="shared" si="37"/>
        <v/>
      </c>
    </row>
    <row r="376" spans="1:14">
      <c r="A376" s="59" t="str">
        <f>IF(C376="","",VLOOKUP('Opći dio'!$C$3,'Opći dio'!$L$6:$U$135,10,0))</f>
        <v/>
      </c>
      <c r="B376" s="59" t="str">
        <f>IF(C376="","",VLOOKUP('Opći dio'!$C$3,'Opći dio'!$L$6:$U$135,9,0))</f>
        <v/>
      </c>
      <c r="C376" s="74"/>
      <c r="D376" s="59" t="str">
        <f t="shared" si="33"/>
        <v/>
      </c>
      <c r="E376" s="74"/>
      <c r="F376" s="59" t="str">
        <f t="shared" si="34"/>
        <v/>
      </c>
      <c r="G376" s="75"/>
      <c r="H376" s="59" t="str">
        <f t="shared" si="35"/>
        <v/>
      </c>
      <c r="I376" s="64"/>
      <c r="J376" s="64"/>
      <c r="K376" s="64"/>
      <c r="M376" t="str">
        <f t="shared" si="36"/>
        <v/>
      </c>
      <c r="N376" t="str">
        <f t="shared" si="37"/>
        <v/>
      </c>
    </row>
    <row r="377" spans="1:14">
      <c r="A377" s="59" t="str">
        <f>IF(C377="","",VLOOKUP('Opći dio'!$C$3,'Opći dio'!$L$6:$U$135,10,0))</f>
        <v/>
      </c>
      <c r="B377" s="59" t="str">
        <f>IF(C377="","",VLOOKUP('Opći dio'!$C$3,'Opći dio'!$L$6:$U$135,9,0))</f>
        <v/>
      </c>
      <c r="C377" s="74"/>
      <c r="D377" s="59" t="str">
        <f t="shared" si="33"/>
        <v/>
      </c>
      <c r="E377" s="74"/>
      <c r="F377" s="59" t="str">
        <f t="shared" si="34"/>
        <v/>
      </c>
      <c r="G377" s="75"/>
      <c r="H377" s="59" t="str">
        <f t="shared" si="35"/>
        <v/>
      </c>
      <c r="I377" s="64"/>
      <c r="J377" s="64"/>
      <c r="K377" s="64"/>
      <c r="M377" t="str">
        <f t="shared" si="36"/>
        <v/>
      </c>
      <c r="N377" t="str">
        <f t="shared" si="37"/>
        <v/>
      </c>
    </row>
    <row r="378" spans="1:14">
      <c r="A378" s="59" t="str">
        <f>IF(C378="","",VLOOKUP('Opći dio'!$C$3,'Opći dio'!$L$6:$U$135,10,0))</f>
        <v/>
      </c>
      <c r="B378" s="59" t="str">
        <f>IF(C378="","",VLOOKUP('Opći dio'!$C$3,'Opći dio'!$L$6:$U$135,9,0))</f>
        <v/>
      </c>
      <c r="C378" s="74"/>
      <c r="D378" s="59" t="str">
        <f t="shared" si="33"/>
        <v/>
      </c>
      <c r="E378" s="74"/>
      <c r="F378" s="59" t="str">
        <f t="shared" si="34"/>
        <v/>
      </c>
      <c r="G378" s="75"/>
      <c r="H378" s="59" t="str">
        <f t="shared" si="35"/>
        <v/>
      </c>
      <c r="I378" s="64"/>
      <c r="J378" s="64"/>
      <c r="K378" s="64"/>
      <c r="M378" t="str">
        <f t="shared" si="36"/>
        <v/>
      </c>
      <c r="N378" t="str">
        <f t="shared" si="37"/>
        <v/>
      </c>
    </row>
    <row r="379" spans="1:14">
      <c r="A379" s="59" t="str">
        <f>IF(C379="","",VLOOKUP('Opći dio'!$C$3,'Opći dio'!$L$6:$U$135,10,0))</f>
        <v/>
      </c>
      <c r="B379" s="59" t="str">
        <f>IF(C379="","",VLOOKUP('Opći dio'!$C$3,'Opći dio'!$L$6:$U$135,9,0))</f>
        <v/>
      </c>
      <c r="C379" s="74"/>
      <c r="D379" s="59" t="str">
        <f t="shared" si="33"/>
        <v/>
      </c>
      <c r="E379" s="74"/>
      <c r="F379" s="59" t="str">
        <f t="shared" si="34"/>
        <v/>
      </c>
      <c r="G379" s="75"/>
      <c r="H379" s="59" t="str">
        <f t="shared" si="35"/>
        <v/>
      </c>
      <c r="I379" s="64"/>
      <c r="J379" s="64"/>
      <c r="K379" s="64"/>
      <c r="M379" t="str">
        <f t="shared" si="36"/>
        <v/>
      </c>
      <c r="N379" t="str">
        <f t="shared" si="37"/>
        <v/>
      </c>
    </row>
    <row r="380" spans="1:14">
      <c r="A380" s="59" t="str">
        <f>IF(C380="","",VLOOKUP('Opći dio'!$C$3,'Opći dio'!$L$6:$U$135,10,0))</f>
        <v/>
      </c>
      <c r="B380" s="59" t="str">
        <f>IF(C380="","",VLOOKUP('Opći dio'!$C$3,'Opći dio'!$L$6:$U$135,9,0))</f>
        <v/>
      </c>
      <c r="C380" s="74"/>
      <c r="D380" s="59" t="str">
        <f t="shared" si="33"/>
        <v/>
      </c>
      <c r="E380" s="74"/>
      <c r="F380" s="59" t="str">
        <f t="shared" si="34"/>
        <v/>
      </c>
      <c r="G380" s="75"/>
      <c r="H380" s="59" t="str">
        <f t="shared" si="35"/>
        <v/>
      </c>
      <c r="I380" s="64"/>
      <c r="J380" s="64"/>
      <c r="K380" s="64"/>
      <c r="M380" t="str">
        <f t="shared" si="36"/>
        <v/>
      </c>
      <c r="N380" t="str">
        <f t="shared" si="37"/>
        <v/>
      </c>
    </row>
    <row r="381" spans="1:14">
      <c r="A381" s="59" t="str">
        <f>IF(C381="","",VLOOKUP('Opći dio'!$C$3,'Opći dio'!$L$6:$U$135,10,0))</f>
        <v/>
      </c>
      <c r="B381" s="59" t="str">
        <f>IF(C381="","",VLOOKUP('Opći dio'!$C$3,'Opći dio'!$L$6:$U$135,9,0))</f>
        <v/>
      </c>
      <c r="C381" s="74"/>
      <c r="D381" s="59" t="str">
        <f t="shared" si="33"/>
        <v/>
      </c>
      <c r="E381" s="74"/>
      <c r="F381" s="59" t="str">
        <f t="shared" si="34"/>
        <v/>
      </c>
      <c r="G381" s="75"/>
      <c r="H381" s="59" t="str">
        <f t="shared" si="35"/>
        <v/>
      </c>
      <c r="I381" s="64"/>
      <c r="J381" s="64"/>
      <c r="K381" s="64"/>
      <c r="M381" t="str">
        <f t="shared" si="36"/>
        <v/>
      </c>
      <c r="N381" t="str">
        <f t="shared" si="37"/>
        <v/>
      </c>
    </row>
    <row r="382" spans="1:14">
      <c r="A382" s="59" t="str">
        <f>IF(C382="","",VLOOKUP('Opći dio'!$C$3,'Opći dio'!$L$6:$U$135,10,0))</f>
        <v/>
      </c>
      <c r="B382" s="59" t="str">
        <f>IF(C382="","",VLOOKUP('Opći dio'!$C$3,'Opći dio'!$L$6:$U$135,9,0))</f>
        <v/>
      </c>
      <c r="C382" s="74"/>
      <c r="D382" s="59" t="str">
        <f t="shared" si="33"/>
        <v/>
      </c>
      <c r="E382" s="74"/>
      <c r="F382" s="59" t="str">
        <f t="shared" si="34"/>
        <v/>
      </c>
      <c r="G382" s="75"/>
      <c r="H382" s="59" t="str">
        <f t="shared" si="35"/>
        <v/>
      </c>
      <c r="I382" s="64"/>
      <c r="J382" s="64"/>
      <c r="K382" s="64"/>
      <c r="M382" t="str">
        <f t="shared" si="36"/>
        <v/>
      </c>
      <c r="N382" t="str">
        <f t="shared" si="37"/>
        <v/>
      </c>
    </row>
    <row r="383" spans="1:14">
      <c r="A383" s="59" t="str">
        <f>IF(C383="","",VLOOKUP('Opći dio'!$C$3,'Opći dio'!$L$6:$U$135,10,0))</f>
        <v/>
      </c>
      <c r="B383" s="59" t="str">
        <f>IF(C383="","",VLOOKUP('Opći dio'!$C$3,'Opći dio'!$L$6:$U$135,9,0))</f>
        <v/>
      </c>
      <c r="C383" s="74"/>
      <c r="D383" s="59" t="str">
        <f t="shared" si="33"/>
        <v/>
      </c>
      <c r="E383" s="74"/>
      <c r="F383" s="59" t="str">
        <f t="shared" si="34"/>
        <v/>
      </c>
      <c r="G383" s="75"/>
      <c r="H383" s="59" t="str">
        <f t="shared" si="35"/>
        <v/>
      </c>
      <c r="I383" s="64"/>
      <c r="J383" s="64"/>
      <c r="K383" s="64"/>
      <c r="M383" t="str">
        <f t="shared" si="36"/>
        <v/>
      </c>
      <c r="N383" t="str">
        <f t="shared" si="37"/>
        <v/>
      </c>
    </row>
    <row r="384" spans="1:14">
      <c r="A384" s="59" t="str">
        <f>IF(C384="","",VLOOKUP('Opći dio'!$C$3,'Opći dio'!$L$6:$U$135,10,0))</f>
        <v/>
      </c>
      <c r="B384" s="59" t="str">
        <f>IF(C384="","",VLOOKUP('Opći dio'!$C$3,'Opći dio'!$L$6:$U$135,9,0))</f>
        <v/>
      </c>
      <c r="C384" s="74"/>
      <c r="D384" s="59" t="str">
        <f t="shared" si="33"/>
        <v/>
      </c>
      <c r="E384" s="74"/>
      <c r="F384" s="59" t="str">
        <f t="shared" si="34"/>
        <v/>
      </c>
      <c r="G384" s="75"/>
      <c r="H384" s="59" t="str">
        <f t="shared" si="35"/>
        <v/>
      </c>
      <c r="I384" s="64"/>
      <c r="J384" s="64"/>
      <c r="K384" s="64"/>
      <c r="M384" t="str">
        <f t="shared" si="36"/>
        <v/>
      </c>
      <c r="N384" t="str">
        <f t="shared" si="37"/>
        <v/>
      </c>
    </row>
    <row r="385" spans="1:14">
      <c r="A385" s="59" t="str">
        <f>IF(C385="","",VLOOKUP('Opći dio'!$C$3,'Opći dio'!$L$6:$U$135,10,0))</f>
        <v/>
      </c>
      <c r="B385" s="59" t="str">
        <f>IF(C385="","",VLOOKUP('Opći dio'!$C$3,'Opći dio'!$L$6:$U$135,9,0))</f>
        <v/>
      </c>
      <c r="C385" s="74"/>
      <c r="D385" s="59" t="str">
        <f t="shared" si="33"/>
        <v/>
      </c>
      <c r="E385" s="74"/>
      <c r="F385" s="59" t="str">
        <f t="shared" si="34"/>
        <v/>
      </c>
      <c r="G385" s="75"/>
      <c r="H385" s="59" t="str">
        <f t="shared" si="35"/>
        <v/>
      </c>
      <c r="I385" s="64"/>
      <c r="J385" s="64"/>
      <c r="K385" s="64"/>
      <c r="M385" t="str">
        <f t="shared" si="36"/>
        <v/>
      </c>
      <c r="N385" t="str">
        <f t="shared" si="37"/>
        <v/>
      </c>
    </row>
    <row r="386" spans="1:14">
      <c r="A386" s="59" t="str">
        <f>IF(C386="","",VLOOKUP('Opći dio'!$C$3,'Opći dio'!$L$6:$U$135,10,0))</f>
        <v/>
      </c>
      <c r="B386" s="59" t="str">
        <f>IF(C386="","",VLOOKUP('Opći dio'!$C$3,'Opći dio'!$L$6:$U$135,9,0))</f>
        <v/>
      </c>
      <c r="C386" s="74"/>
      <c r="D386" s="59" t="str">
        <f t="shared" si="33"/>
        <v/>
      </c>
      <c r="E386" s="74"/>
      <c r="F386" s="59" t="str">
        <f t="shared" si="34"/>
        <v/>
      </c>
      <c r="G386" s="75"/>
      <c r="H386" s="59" t="str">
        <f t="shared" si="35"/>
        <v/>
      </c>
      <c r="I386" s="64"/>
      <c r="J386" s="64"/>
      <c r="K386" s="64"/>
      <c r="M386" t="str">
        <f t="shared" si="36"/>
        <v/>
      </c>
      <c r="N386" t="str">
        <f t="shared" si="37"/>
        <v/>
      </c>
    </row>
    <row r="387" spans="1:14">
      <c r="A387" s="59" t="str">
        <f>IF(C387="","",VLOOKUP('Opći dio'!$C$3,'Opći dio'!$L$6:$U$135,10,0))</f>
        <v/>
      </c>
      <c r="B387" s="59" t="str">
        <f>IF(C387="","",VLOOKUP('Opći dio'!$C$3,'Opći dio'!$L$6:$U$135,9,0))</f>
        <v/>
      </c>
      <c r="C387" s="74"/>
      <c r="D387" s="59" t="str">
        <f t="shared" ref="D387:D450" si="38">IFERROR(VLOOKUP(C387,$O$6:$P$16,2,0),"")</f>
        <v/>
      </c>
      <c r="E387" s="74"/>
      <c r="F387" s="59" t="str">
        <f t="shared" ref="F387:F450" si="39">IFERROR(VLOOKUP(E387,$R$5:$T$129,2,0),"")</f>
        <v/>
      </c>
      <c r="G387" s="75"/>
      <c r="H387" s="59" t="str">
        <f t="shared" ref="H387:H450" si="40">IFERROR(VLOOKUP(G387,$X$6:$Y$50,2,0),"")</f>
        <v/>
      </c>
      <c r="I387" s="64"/>
      <c r="J387" s="64"/>
      <c r="K387" s="64"/>
      <c r="M387" t="str">
        <f t="shared" ref="M387:M450" si="41">LEFT(E387,3)</f>
        <v/>
      </c>
      <c r="N387" t="str">
        <f t="shared" ref="N387:N450" si="42">LEFT(E387,2)</f>
        <v/>
      </c>
    </row>
    <row r="388" spans="1:14">
      <c r="A388" s="59" t="str">
        <f>IF(C388="","",VLOOKUP('Opći dio'!$C$3,'Opći dio'!$L$6:$U$135,10,0))</f>
        <v/>
      </c>
      <c r="B388" s="59" t="str">
        <f>IF(C388="","",VLOOKUP('Opći dio'!$C$3,'Opći dio'!$L$6:$U$135,9,0))</f>
        <v/>
      </c>
      <c r="C388" s="74"/>
      <c r="D388" s="59" t="str">
        <f t="shared" si="38"/>
        <v/>
      </c>
      <c r="E388" s="74"/>
      <c r="F388" s="59" t="str">
        <f t="shared" si="39"/>
        <v/>
      </c>
      <c r="G388" s="75"/>
      <c r="H388" s="59" t="str">
        <f t="shared" si="40"/>
        <v/>
      </c>
      <c r="I388" s="64"/>
      <c r="J388" s="64"/>
      <c r="K388" s="64"/>
      <c r="M388" t="str">
        <f t="shared" si="41"/>
        <v/>
      </c>
      <c r="N388" t="str">
        <f t="shared" si="42"/>
        <v/>
      </c>
    </row>
    <row r="389" spans="1:14">
      <c r="A389" s="59" t="str">
        <f>IF(C389="","",VLOOKUP('Opći dio'!$C$3,'Opći dio'!$L$6:$U$135,10,0))</f>
        <v/>
      </c>
      <c r="B389" s="59" t="str">
        <f>IF(C389="","",VLOOKUP('Opći dio'!$C$3,'Opći dio'!$L$6:$U$135,9,0))</f>
        <v/>
      </c>
      <c r="C389" s="74"/>
      <c r="D389" s="59" t="str">
        <f t="shared" si="38"/>
        <v/>
      </c>
      <c r="E389" s="74"/>
      <c r="F389" s="59" t="str">
        <f t="shared" si="39"/>
        <v/>
      </c>
      <c r="G389" s="75"/>
      <c r="H389" s="59" t="str">
        <f t="shared" si="40"/>
        <v/>
      </c>
      <c r="I389" s="64"/>
      <c r="J389" s="64"/>
      <c r="K389" s="64"/>
      <c r="M389" t="str">
        <f t="shared" si="41"/>
        <v/>
      </c>
      <c r="N389" t="str">
        <f t="shared" si="42"/>
        <v/>
      </c>
    </row>
    <row r="390" spans="1:14">
      <c r="A390" s="59" t="str">
        <f>IF(C390="","",VLOOKUP('Opći dio'!$C$3,'Opći dio'!$L$6:$U$135,10,0))</f>
        <v/>
      </c>
      <c r="B390" s="59" t="str">
        <f>IF(C390="","",VLOOKUP('Opći dio'!$C$3,'Opći dio'!$L$6:$U$135,9,0))</f>
        <v/>
      </c>
      <c r="C390" s="74"/>
      <c r="D390" s="59" t="str">
        <f t="shared" si="38"/>
        <v/>
      </c>
      <c r="E390" s="74"/>
      <c r="F390" s="59" t="str">
        <f t="shared" si="39"/>
        <v/>
      </c>
      <c r="G390" s="75"/>
      <c r="H390" s="59" t="str">
        <f t="shared" si="40"/>
        <v/>
      </c>
      <c r="I390" s="64"/>
      <c r="J390" s="64"/>
      <c r="K390" s="64"/>
      <c r="M390" t="str">
        <f t="shared" si="41"/>
        <v/>
      </c>
      <c r="N390" t="str">
        <f t="shared" si="42"/>
        <v/>
      </c>
    </row>
    <row r="391" spans="1:14">
      <c r="A391" s="59" t="str">
        <f>IF(C391="","",VLOOKUP('Opći dio'!$C$3,'Opći dio'!$L$6:$U$135,10,0))</f>
        <v/>
      </c>
      <c r="B391" s="59" t="str">
        <f>IF(C391="","",VLOOKUP('Opći dio'!$C$3,'Opći dio'!$L$6:$U$135,9,0))</f>
        <v/>
      </c>
      <c r="C391" s="74"/>
      <c r="D391" s="59" t="str">
        <f t="shared" si="38"/>
        <v/>
      </c>
      <c r="E391" s="74"/>
      <c r="F391" s="59" t="str">
        <f t="shared" si="39"/>
        <v/>
      </c>
      <c r="G391" s="75"/>
      <c r="H391" s="59" t="str">
        <f t="shared" si="40"/>
        <v/>
      </c>
      <c r="I391" s="64"/>
      <c r="J391" s="64"/>
      <c r="K391" s="64"/>
      <c r="M391" t="str">
        <f t="shared" si="41"/>
        <v/>
      </c>
      <c r="N391" t="str">
        <f t="shared" si="42"/>
        <v/>
      </c>
    </row>
    <row r="392" spans="1:14">
      <c r="A392" s="59" t="str">
        <f>IF(C392="","",VLOOKUP('Opći dio'!$C$3,'Opći dio'!$L$6:$U$135,10,0))</f>
        <v/>
      </c>
      <c r="B392" s="59" t="str">
        <f>IF(C392="","",VLOOKUP('Opći dio'!$C$3,'Opći dio'!$L$6:$U$135,9,0))</f>
        <v/>
      </c>
      <c r="C392" s="74"/>
      <c r="D392" s="59" t="str">
        <f t="shared" si="38"/>
        <v/>
      </c>
      <c r="E392" s="74"/>
      <c r="F392" s="59" t="str">
        <f t="shared" si="39"/>
        <v/>
      </c>
      <c r="G392" s="75"/>
      <c r="H392" s="59" t="str">
        <f t="shared" si="40"/>
        <v/>
      </c>
      <c r="I392" s="64"/>
      <c r="J392" s="64"/>
      <c r="K392" s="64"/>
      <c r="M392" t="str">
        <f t="shared" si="41"/>
        <v/>
      </c>
      <c r="N392" t="str">
        <f t="shared" si="42"/>
        <v/>
      </c>
    </row>
    <row r="393" spans="1:14">
      <c r="A393" s="59" t="str">
        <f>IF(C393="","",VLOOKUP('Opći dio'!$C$3,'Opći dio'!$L$6:$U$135,10,0))</f>
        <v/>
      </c>
      <c r="B393" s="59" t="str">
        <f>IF(C393="","",VLOOKUP('Opći dio'!$C$3,'Opći dio'!$L$6:$U$135,9,0))</f>
        <v/>
      </c>
      <c r="C393" s="74"/>
      <c r="D393" s="59" t="str">
        <f t="shared" si="38"/>
        <v/>
      </c>
      <c r="E393" s="74"/>
      <c r="F393" s="59" t="str">
        <f t="shared" si="39"/>
        <v/>
      </c>
      <c r="G393" s="75"/>
      <c r="H393" s="59" t="str">
        <f t="shared" si="40"/>
        <v/>
      </c>
      <c r="I393" s="64"/>
      <c r="J393" s="64"/>
      <c r="K393" s="64"/>
      <c r="M393" t="str">
        <f t="shared" si="41"/>
        <v/>
      </c>
      <c r="N393" t="str">
        <f t="shared" si="42"/>
        <v/>
      </c>
    </row>
    <row r="394" spans="1:14">
      <c r="A394" s="59" t="str">
        <f>IF(C394="","",VLOOKUP('Opći dio'!$C$3,'Opći dio'!$L$6:$U$135,10,0))</f>
        <v/>
      </c>
      <c r="B394" s="59" t="str">
        <f>IF(C394="","",VLOOKUP('Opći dio'!$C$3,'Opći dio'!$L$6:$U$135,9,0))</f>
        <v/>
      </c>
      <c r="C394" s="74"/>
      <c r="D394" s="59" t="str">
        <f t="shared" si="38"/>
        <v/>
      </c>
      <c r="E394" s="74"/>
      <c r="F394" s="59" t="str">
        <f t="shared" si="39"/>
        <v/>
      </c>
      <c r="G394" s="75"/>
      <c r="H394" s="59" t="str">
        <f t="shared" si="40"/>
        <v/>
      </c>
      <c r="I394" s="64"/>
      <c r="J394" s="64"/>
      <c r="K394" s="64"/>
      <c r="M394" t="str">
        <f t="shared" si="41"/>
        <v/>
      </c>
      <c r="N394" t="str">
        <f t="shared" si="42"/>
        <v/>
      </c>
    </row>
    <row r="395" spans="1:14">
      <c r="A395" s="59" t="str">
        <f>IF(C395="","",VLOOKUP('Opći dio'!$C$3,'Opći dio'!$L$6:$U$135,10,0))</f>
        <v/>
      </c>
      <c r="B395" s="59" t="str">
        <f>IF(C395="","",VLOOKUP('Opći dio'!$C$3,'Opći dio'!$L$6:$U$135,9,0))</f>
        <v/>
      </c>
      <c r="C395" s="74"/>
      <c r="D395" s="59" t="str">
        <f t="shared" si="38"/>
        <v/>
      </c>
      <c r="E395" s="74"/>
      <c r="F395" s="59" t="str">
        <f t="shared" si="39"/>
        <v/>
      </c>
      <c r="G395" s="75"/>
      <c r="H395" s="59" t="str">
        <f t="shared" si="40"/>
        <v/>
      </c>
      <c r="I395" s="64"/>
      <c r="J395" s="64"/>
      <c r="K395" s="64"/>
      <c r="M395" t="str">
        <f t="shared" si="41"/>
        <v/>
      </c>
      <c r="N395" t="str">
        <f t="shared" si="42"/>
        <v/>
      </c>
    </row>
    <row r="396" spans="1:14">
      <c r="A396" s="59" t="str">
        <f>IF(C396="","",VLOOKUP('Opći dio'!$C$3,'Opći dio'!$L$6:$U$135,10,0))</f>
        <v/>
      </c>
      <c r="B396" s="59" t="str">
        <f>IF(C396="","",VLOOKUP('Opći dio'!$C$3,'Opći dio'!$L$6:$U$135,9,0))</f>
        <v/>
      </c>
      <c r="C396" s="74"/>
      <c r="D396" s="59" t="str">
        <f t="shared" si="38"/>
        <v/>
      </c>
      <c r="E396" s="74"/>
      <c r="F396" s="59" t="str">
        <f t="shared" si="39"/>
        <v/>
      </c>
      <c r="G396" s="75"/>
      <c r="H396" s="59" t="str">
        <f t="shared" si="40"/>
        <v/>
      </c>
      <c r="I396" s="64"/>
      <c r="J396" s="64"/>
      <c r="K396" s="64"/>
      <c r="M396" t="str">
        <f t="shared" si="41"/>
        <v/>
      </c>
      <c r="N396" t="str">
        <f t="shared" si="42"/>
        <v/>
      </c>
    </row>
    <row r="397" spans="1:14">
      <c r="A397" s="59" t="str">
        <f>IF(C397="","",VLOOKUP('Opći dio'!$C$3,'Opći dio'!$L$6:$U$135,10,0))</f>
        <v/>
      </c>
      <c r="B397" s="59" t="str">
        <f>IF(C397="","",VLOOKUP('Opći dio'!$C$3,'Opći dio'!$L$6:$U$135,9,0))</f>
        <v/>
      </c>
      <c r="C397" s="74"/>
      <c r="D397" s="59" t="str">
        <f t="shared" si="38"/>
        <v/>
      </c>
      <c r="E397" s="74"/>
      <c r="F397" s="59" t="str">
        <f t="shared" si="39"/>
        <v/>
      </c>
      <c r="G397" s="75"/>
      <c r="H397" s="59" t="str">
        <f t="shared" si="40"/>
        <v/>
      </c>
      <c r="I397" s="64"/>
      <c r="J397" s="64"/>
      <c r="K397" s="64"/>
      <c r="M397" t="str">
        <f t="shared" si="41"/>
        <v/>
      </c>
      <c r="N397" t="str">
        <f t="shared" si="42"/>
        <v/>
      </c>
    </row>
    <row r="398" spans="1:14">
      <c r="A398" s="59" t="str">
        <f>IF(C398="","",VLOOKUP('Opći dio'!$C$3,'Opći dio'!$L$6:$U$135,10,0))</f>
        <v/>
      </c>
      <c r="B398" s="59" t="str">
        <f>IF(C398="","",VLOOKUP('Opći dio'!$C$3,'Opći dio'!$L$6:$U$135,9,0))</f>
        <v/>
      </c>
      <c r="C398" s="74"/>
      <c r="D398" s="59" t="str">
        <f t="shared" si="38"/>
        <v/>
      </c>
      <c r="E398" s="74"/>
      <c r="F398" s="59" t="str">
        <f t="shared" si="39"/>
        <v/>
      </c>
      <c r="G398" s="75"/>
      <c r="H398" s="59" t="str">
        <f t="shared" si="40"/>
        <v/>
      </c>
      <c r="I398" s="64"/>
      <c r="J398" s="64"/>
      <c r="K398" s="64"/>
      <c r="M398" t="str">
        <f t="shared" si="41"/>
        <v/>
      </c>
      <c r="N398" t="str">
        <f t="shared" si="42"/>
        <v/>
      </c>
    </row>
    <row r="399" spans="1:14">
      <c r="A399" s="59" t="str">
        <f>IF(C399="","",VLOOKUP('Opći dio'!$C$3,'Opći dio'!$L$6:$U$135,10,0))</f>
        <v/>
      </c>
      <c r="B399" s="59" t="str">
        <f>IF(C399="","",VLOOKUP('Opći dio'!$C$3,'Opći dio'!$L$6:$U$135,9,0))</f>
        <v/>
      </c>
      <c r="C399" s="74"/>
      <c r="D399" s="59" t="str">
        <f t="shared" si="38"/>
        <v/>
      </c>
      <c r="E399" s="74"/>
      <c r="F399" s="59" t="str">
        <f t="shared" si="39"/>
        <v/>
      </c>
      <c r="G399" s="75"/>
      <c r="H399" s="59" t="str">
        <f t="shared" si="40"/>
        <v/>
      </c>
      <c r="I399" s="64"/>
      <c r="J399" s="64"/>
      <c r="K399" s="64"/>
      <c r="M399" t="str">
        <f t="shared" si="41"/>
        <v/>
      </c>
      <c r="N399" t="str">
        <f t="shared" si="42"/>
        <v/>
      </c>
    </row>
    <row r="400" spans="1:14">
      <c r="A400" s="59" t="str">
        <f>IF(C400="","",VLOOKUP('Opći dio'!$C$3,'Opći dio'!$L$6:$U$135,10,0))</f>
        <v/>
      </c>
      <c r="B400" s="59" t="str">
        <f>IF(C400="","",VLOOKUP('Opći dio'!$C$3,'Opći dio'!$L$6:$U$135,9,0))</f>
        <v/>
      </c>
      <c r="C400" s="74"/>
      <c r="D400" s="59" t="str">
        <f t="shared" si="38"/>
        <v/>
      </c>
      <c r="E400" s="74"/>
      <c r="F400" s="59" t="str">
        <f t="shared" si="39"/>
        <v/>
      </c>
      <c r="G400" s="75"/>
      <c r="H400" s="59" t="str">
        <f t="shared" si="40"/>
        <v/>
      </c>
      <c r="I400" s="64"/>
      <c r="J400" s="64"/>
      <c r="K400" s="64"/>
      <c r="M400" t="str">
        <f t="shared" si="41"/>
        <v/>
      </c>
      <c r="N400" t="str">
        <f t="shared" si="42"/>
        <v/>
      </c>
    </row>
    <row r="401" spans="1:14">
      <c r="A401" s="59" t="str">
        <f>IF(C401="","",VLOOKUP('Opći dio'!$C$3,'Opći dio'!$L$6:$U$135,10,0))</f>
        <v/>
      </c>
      <c r="B401" s="59" t="str">
        <f>IF(C401="","",VLOOKUP('Opći dio'!$C$3,'Opći dio'!$L$6:$U$135,9,0))</f>
        <v/>
      </c>
      <c r="C401" s="74"/>
      <c r="D401" s="59" t="str">
        <f t="shared" si="38"/>
        <v/>
      </c>
      <c r="E401" s="74"/>
      <c r="F401" s="59" t="str">
        <f t="shared" si="39"/>
        <v/>
      </c>
      <c r="G401" s="75"/>
      <c r="H401" s="59" t="str">
        <f t="shared" si="40"/>
        <v/>
      </c>
      <c r="I401" s="64"/>
      <c r="J401" s="64"/>
      <c r="K401" s="64"/>
      <c r="M401" t="str">
        <f t="shared" si="41"/>
        <v/>
      </c>
      <c r="N401" t="str">
        <f t="shared" si="42"/>
        <v/>
      </c>
    </row>
    <row r="402" spans="1:14">
      <c r="A402" s="59" t="str">
        <f>IF(C402="","",VLOOKUP('Opći dio'!$C$3,'Opći dio'!$L$6:$U$135,10,0))</f>
        <v/>
      </c>
      <c r="B402" s="59" t="str">
        <f>IF(C402="","",VLOOKUP('Opći dio'!$C$3,'Opći dio'!$L$6:$U$135,9,0))</f>
        <v/>
      </c>
      <c r="C402" s="74"/>
      <c r="D402" s="59" t="str">
        <f t="shared" si="38"/>
        <v/>
      </c>
      <c r="E402" s="74"/>
      <c r="F402" s="59" t="str">
        <f t="shared" si="39"/>
        <v/>
      </c>
      <c r="G402" s="75"/>
      <c r="H402" s="59" t="str">
        <f t="shared" si="40"/>
        <v/>
      </c>
      <c r="I402" s="64"/>
      <c r="J402" s="64"/>
      <c r="K402" s="64"/>
      <c r="M402" t="str">
        <f t="shared" si="41"/>
        <v/>
      </c>
      <c r="N402" t="str">
        <f t="shared" si="42"/>
        <v/>
      </c>
    </row>
    <row r="403" spans="1:14">
      <c r="A403" s="59" t="str">
        <f>IF(C403="","",VLOOKUP('Opći dio'!$C$3,'Opći dio'!$L$6:$U$135,10,0))</f>
        <v/>
      </c>
      <c r="B403" s="59" t="str">
        <f>IF(C403="","",VLOOKUP('Opći dio'!$C$3,'Opći dio'!$L$6:$U$135,9,0))</f>
        <v/>
      </c>
      <c r="C403" s="74"/>
      <c r="D403" s="59" t="str">
        <f t="shared" si="38"/>
        <v/>
      </c>
      <c r="E403" s="74"/>
      <c r="F403" s="59" t="str">
        <f t="shared" si="39"/>
        <v/>
      </c>
      <c r="G403" s="75"/>
      <c r="H403" s="59" t="str">
        <f t="shared" si="40"/>
        <v/>
      </c>
      <c r="I403" s="64"/>
      <c r="J403" s="64"/>
      <c r="K403" s="64"/>
      <c r="M403" t="str">
        <f t="shared" si="41"/>
        <v/>
      </c>
      <c r="N403" t="str">
        <f t="shared" si="42"/>
        <v/>
      </c>
    </row>
    <row r="404" spans="1:14">
      <c r="A404" s="59" t="str">
        <f>IF(C404="","",VLOOKUP('Opći dio'!$C$3,'Opći dio'!$L$6:$U$135,10,0))</f>
        <v/>
      </c>
      <c r="B404" s="59" t="str">
        <f>IF(C404="","",VLOOKUP('Opći dio'!$C$3,'Opći dio'!$L$6:$U$135,9,0))</f>
        <v/>
      </c>
      <c r="C404" s="74"/>
      <c r="D404" s="59" t="str">
        <f t="shared" si="38"/>
        <v/>
      </c>
      <c r="E404" s="74"/>
      <c r="F404" s="59" t="str">
        <f t="shared" si="39"/>
        <v/>
      </c>
      <c r="G404" s="75"/>
      <c r="H404" s="59" t="str">
        <f t="shared" si="40"/>
        <v/>
      </c>
      <c r="I404" s="64"/>
      <c r="J404" s="64"/>
      <c r="K404" s="64"/>
      <c r="M404" t="str">
        <f t="shared" si="41"/>
        <v/>
      </c>
      <c r="N404" t="str">
        <f t="shared" si="42"/>
        <v/>
      </c>
    </row>
    <row r="405" spans="1:14">
      <c r="A405" s="59" t="str">
        <f>IF(C405="","",VLOOKUP('Opći dio'!$C$3,'Opći dio'!$L$6:$U$135,10,0))</f>
        <v/>
      </c>
      <c r="B405" s="59" t="str">
        <f>IF(C405="","",VLOOKUP('Opći dio'!$C$3,'Opći dio'!$L$6:$U$135,9,0))</f>
        <v/>
      </c>
      <c r="C405" s="74"/>
      <c r="D405" s="59" t="str">
        <f t="shared" si="38"/>
        <v/>
      </c>
      <c r="E405" s="74"/>
      <c r="F405" s="59" t="str">
        <f t="shared" si="39"/>
        <v/>
      </c>
      <c r="G405" s="75"/>
      <c r="H405" s="59" t="str">
        <f t="shared" si="40"/>
        <v/>
      </c>
      <c r="I405" s="64"/>
      <c r="J405" s="64"/>
      <c r="K405" s="64"/>
      <c r="M405" t="str">
        <f t="shared" si="41"/>
        <v/>
      </c>
      <c r="N405" t="str">
        <f t="shared" si="42"/>
        <v/>
      </c>
    </row>
    <row r="406" spans="1:14">
      <c r="A406" s="59" t="str">
        <f>IF(C406="","",VLOOKUP('Opći dio'!$C$3,'Opći dio'!$L$6:$U$135,10,0))</f>
        <v/>
      </c>
      <c r="B406" s="59" t="str">
        <f>IF(C406="","",VLOOKUP('Opći dio'!$C$3,'Opći dio'!$L$6:$U$135,9,0))</f>
        <v/>
      </c>
      <c r="C406" s="74"/>
      <c r="D406" s="59" t="str">
        <f t="shared" si="38"/>
        <v/>
      </c>
      <c r="E406" s="74"/>
      <c r="F406" s="59" t="str">
        <f t="shared" si="39"/>
        <v/>
      </c>
      <c r="G406" s="75"/>
      <c r="H406" s="59" t="str">
        <f t="shared" si="40"/>
        <v/>
      </c>
      <c r="I406" s="64"/>
      <c r="J406" s="64"/>
      <c r="K406" s="64"/>
      <c r="M406" t="str">
        <f t="shared" si="41"/>
        <v/>
      </c>
      <c r="N406" t="str">
        <f t="shared" si="42"/>
        <v/>
      </c>
    </row>
    <row r="407" spans="1:14">
      <c r="A407" s="59" t="str">
        <f>IF(C407="","",VLOOKUP('Opći dio'!$C$3,'Opći dio'!$L$6:$U$135,10,0))</f>
        <v/>
      </c>
      <c r="B407" s="59" t="str">
        <f>IF(C407="","",VLOOKUP('Opći dio'!$C$3,'Opći dio'!$L$6:$U$135,9,0))</f>
        <v/>
      </c>
      <c r="C407" s="74"/>
      <c r="D407" s="59" t="str">
        <f t="shared" si="38"/>
        <v/>
      </c>
      <c r="E407" s="74"/>
      <c r="F407" s="59" t="str">
        <f t="shared" si="39"/>
        <v/>
      </c>
      <c r="G407" s="75"/>
      <c r="H407" s="59" t="str">
        <f t="shared" si="40"/>
        <v/>
      </c>
      <c r="I407" s="64"/>
      <c r="J407" s="64"/>
      <c r="K407" s="64"/>
      <c r="M407" t="str">
        <f t="shared" si="41"/>
        <v/>
      </c>
      <c r="N407" t="str">
        <f t="shared" si="42"/>
        <v/>
      </c>
    </row>
    <row r="408" spans="1:14">
      <c r="A408" s="59" t="str">
        <f>IF(C408="","",VLOOKUP('Opći dio'!$C$3,'Opći dio'!$L$6:$U$135,10,0))</f>
        <v/>
      </c>
      <c r="B408" s="59" t="str">
        <f>IF(C408="","",VLOOKUP('Opći dio'!$C$3,'Opći dio'!$L$6:$U$135,9,0))</f>
        <v/>
      </c>
      <c r="C408" s="74"/>
      <c r="D408" s="59" t="str">
        <f t="shared" si="38"/>
        <v/>
      </c>
      <c r="E408" s="74"/>
      <c r="F408" s="59" t="str">
        <f t="shared" si="39"/>
        <v/>
      </c>
      <c r="G408" s="75"/>
      <c r="H408" s="59" t="str">
        <f t="shared" si="40"/>
        <v/>
      </c>
      <c r="I408" s="64"/>
      <c r="J408" s="64"/>
      <c r="K408" s="64"/>
      <c r="M408" t="str">
        <f t="shared" si="41"/>
        <v/>
      </c>
      <c r="N408" t="str">
        <f t="shared" si="42"/>
        <v/>
      </c>
    </row>
    <row r="409" spans="1:14">
      <c r="A409" s="59" t="str">
        <f>IF(C409="","",VLOOKUP('Opći dio'!$C$3,'Opći dio'!$L$6:$U$135,10,0))</f>
        <v/>
      </c>
      <c r="B409" s="59" t="str">
        <f>IF(C409="","",VLOOKUP('Opći dio'!$C$3,'Opći dio'!$L$6:$U$135,9,0))</f>
        <v/>
      </c>
      <c r="C409" s="74"/>
      <c r="D409" s="59" t="str">
        <f t="shared" si="38"/>
        <v/>
      </c>
      <c r="E409" s="74"/>
      <c r="F409" s="59" t="str">
        <f t="shared" si="39"/>
        <v/>
      </c>
      <c r="G409" s="75"/>
      <c r="H409" s="59" t="str">
        <f t="shared" si="40"/>
        <v/>
      </c>
      <c r="I409" s="64"/>
      <c r="J409" s="64"/>
      <c r="K409" s="64"/>
      <c r="M409" t="str">
        <f t="shared" si="41"/>
        <v/>
      </c>
      <c r="N409" t="str">
        <f t="shared" si="42"/>
        <v/>
      </c>
    </row>
    <row r="410" spans="1:14">
      <c r="A410" s="59" t="str">
        <f>IF(C410="","",VLOOKUP('Opći dio'!$C$3,'Opći dio'!$L$6:$U$135,10,0))</f>
        <v/>
      </c>
      <c r="B410" s="59" t="str">
        <f>IF(C410="","",VLOOKUP('Opći dio'!$C$3,'Opći dio'!$L$6:$U$135,9,0))</f>
        <v/>
      </c>
      <c r="C410" s="74"/>
      <c r="D410" s="59" t="str">
        <f t="shared" si="38"/>
        <v/>
      </c>
      <c r="E410" s="74"/>
      <c r="F410" s="59" t="str">
        <f t="shared" si="39"/>
        <v/>
      </c>
      <c r="G410" s="75"/>
      <c r="H410" s="59" t="str">
        <f t="shared" si="40"/>
        <v/>
      </c>
      <c r="I410" s="64"/>
      <c r="J410" s="64"/>
      <c r="K410" s="64"/>
      <c r="M410" t="str">
        <f t="shared" si="41"/>
        <v/>
      </c>
      <c r="N410" t="str">
        <f t="shared" si="42"/>
        <v/>
      </c>
    </row>
    <row r="411" spans="1:14">
      <c r="A411" s="59" t="str">
        <f>IF(C411="","",VLOOKUP('Opći dio'!$C$3,'Opći dio'!$L$6:$U$135,10,0))</f>
        <v/>
      </c>
      <c r="B411" s="59" t="str">
        <f>IF(C411="","",VLOOKUP('Opći dio'!$C$3,'Opći dio'!$L$6:$U$135,9,0))</f>
        <v/>
      </c>
      <c r="C411" s="74"/>
      <c r="D411" s="59" t="str">
        <f t="shared" si="38"/>
        <v/>
      </c>
      <c r="E411" s="74"/>
      <c r="F411" s="59" t="str">
        <f t="shared" si="39"/>
        <v/>
      </c>
      <c r="G411" s="75"/>
      <c r="H411" s="59" t="str">
        <f t="shared" si="40"/>
        <v/>
      </c>
      <c r="I411" s="64"/>
      <c r="J411" s="64"/>
      <c r="K411" s="64"/>
      <c r="M411" t="str">
        <f t="shared" si="41"/>
        <v/>
      </c>
      <c r="N411" t="str">
        <f t="shared" si="42"/>
        <v/>
      </c>
    </row>
    <row r="412" spans="1:14">
      <c r="A412" s="59" t="str">
        <f>IF(C412="","",VLOOKUP('Opći dio'!$C$3,'Opći dio'!$L$6:$U$135,10,0))</f>
        <v/>
      </c>
      <c r="B412" s="59" t="str">
        <f>IF(C412="","",VLOOKUP('Opći dio'!$C$3,'Opći dio'!$L$6:$U$135,9,0))</f>
        <v/>
      </c>
      <c r="C412" s="74"/>
      <c r="D412" s="59" t="str">
        <f t="shared" si="38"/>
        <v/>
      </c>
      <c r="E412" s="74"/>
      <c r="F412" s="59" t="str">
        <f t="shared" si="39"/>
        <v/>
      </c>
      <c r="G412" s="75"/>
      <c r="H412" s="59" t="str">
        <f t="shared" si="40"/>
        <v/>
      </c>
      <c r="I412" s="64"/>
      <c r="J412" s="64"/>
      <c r="K412" s="64"/>
      <c r="M412" t="str">
        <f t="shared" si="41"/>
        <v/>
      </c>
      <c r="N412" t="str">
        <f t="shared" si="42"/>
        <v/>
      </c>
    </row>
    <row r="413" spans="1:14">
      <c r="A413" s="59" t="str">
        <f>IF(C413="","",VLOOKUP('Opći dio'!$C$3,'Opći dio'!$L$6:$U$135,10,0))</f>
        <v/>
      </c>
      <c r="B413" s="59" t="str">
        <f>IF(C413="","",VLOOKUP('Opći dio'!$C$3,'Opći dio'!$L$6:$U$135,9,0))</f>
        <v/>
      </c>
      <c r="C413" s="74"/>
      <c r="D413" s="59" t="str">
        <f t="shared" si="38"/>
        <v/>
      </c>
      <c r="E413" s="74"/>
      <c r="F413" s="59" t="str">
        <f t="shared" si="39"/>
        <v/>
      </c>
      <c r="G413" s="75"/>
      <c r="H413" s="59" t="str">
        <f t="shared" si="40"/>
        <v/>
      </c>
      <c r="I413" s="64"/>
      <c r="J413" s="64"/>
      <c r="K413" s="64"/>
      <c r="M413" t="str">
        <f t="shared" si="41"/>
        <v/>
      </c>
      <c r="N413" t="str">
        <f t="shared" si="42"/>
        <v/>
      </c>
    </row>
    <row r="414" spans="1:14">
      <c r="A414" s="59" t="str">
        <f>IF(C414="","",VLOOKUP('Opći dio'!$C$3,'Opći dio'!$L$6:$U$135,10,0))</f>
        <v/>
      </c>
      <c r="B414" s="59" t="str">
        <f>IF(C414="","",VLOOKUP('Opći dio'!$C$3,'Opći dio'!$L$6:$U$135,9,0))</f>
        <v/>
      </c>
      <c r="C414" s="74"/>
      <c r="D414" s="59" t="str">
        <f t="shared" si="38"/>
        <v/>
      </c>
      <c r="E414" s="74"/>
      <c r="F414" s="59" t="str">
        <f t="shared" si="39"/>
        <v/>
      </c>
      <c r="G414" s="75"/>
      <c r="H414" s="59" t="str">
        <f t="shared" si="40"/>
        <v/>
      </c>
      <c r="I414" s="64"/>
      <c r="J414" s="64"/>
      <c r="K414" s="64"/>
      <c r="M414" t="str">
        <f t="shared" si="41"/>
        <v/>
      </c>
      <c r="N414" t="str">
        <f t="shared" si="42"/>
        <v/>
      </c>
    </row>
    <row r="415" spans="1:14">
      <c r="A415" s="59" t="str">
        <f>IF(C415="","",VLOOKUP('Opći dio'!$C$3,'Opći dio'!$L$6:$U$135,10,0))</f>
        <v/>
      </c>
      <c r="B415" s="59" t="str">
        <f>IF(C415="","",VLOOKUP('Opći dio'!$C$3,'Opći dio'!$L$6:$U$135,9,0))</f>
        <v/>
      </c>
      <c r="C415" s="74"/>
      <c r="D415" s="59" t="str">
        <f t="shared" si="38"/>
        <v/>
      </c>
      <c r="E415" s="74"/>
      <c r="F415" s="59" t="str">
        <f t="shared" si="39"/>
        <v/>
      </c>
      <c r="G415" s="75"/>
      <c r="H415" s="59" t="str">
        <f t="shared" si="40"/>
        <v/>
      </c>
      <c r="I415" s="64"/>
      <c r="J415" s="64"/>
      <c r="K415" s="64"/>
      <c r="M415" t="str">
        <f t="shared" si="41"/>
        <v/>
      </c>
      <c r="N415" t="str">
        <f t="shared" si="42"/>
        <v/>
      </c>
    </row>
    <row r="416" spans="1:14">
      <c r="A416" s="59" t="str">
        <f>IF(C416="","",VLOOKUP('Opći dio'!$C$3,'Opći dio'!$L$6:$U$135,10,0))</f>
        <v/>
      </c>
      <c r="B416" s="59" t="str">
        <f>IF(C416="","",VLOOKUP('Opći dio'!$C$3,'Opći dio'!$L$6:$U$135,9,0))</f>
        <v/>
      </c>
      <c r="C416" s="74"/>
      <c r="D416" s="59" t="str">
        <f t="shared" si="38"/>
        <v/>
      </c>
      <c r="E416" s="74"/>
      <c r="F416" s="59" t="str">
        <f t="shared" si="39"/>
        <v/>
      </c>
      <c r="G416" s="75"/>
      <c r="H416" s="59" t="str">
        <f t="shared" si="40"/>
        <v/>
      </c>
      <c r="I416" s="64"/>
      <c r="J416" s="64"/>
      <c r="K416" s="64"/>
      <c r="M416" t="str">
        <f t="shared" si="41"/>
        <v/>
      </c>
      <c r="N416" t="str">
        <f t="shared" si="42"/>
        <v/>
      </c>
    </row>
    <row r="417" spans="1:14">
      <c r="A417" s="59" t="str">
        <f>IF(C417="","",VLOOKUP('Opći dio'!$C$3,'Opći dio'!$L$6:$U$135,10,0))</f>
        <v/>
      </c>
      <c r="B417" s="59" t="str">
        <f>IF(C417="","",VLOOKUP('Opći dio'!$C$3,'Opći dio'!$L$6:$U$135,9,0))</f>
        <v/>
      </c>
      <c r="C417" s="74"/>
      <c r="D417" s="59" t="str">
        <f t="shared" si="38"/>
        <v/>
      </c>
      <c r="E417" s="74"/>
      <c r="F417" s="59" t="str">
        <f t="shared" si="39"/>
        <v/>
      </c>
      <c r="G417" s="75"/>
      <c r="H417" s="59" t="str">
        <f t="shared" si="40"/>
        <v/>
      </c>
      <c r="I417" s="64"/>
      <c r="J417" s="64"/>
      <c r="K417" s="64"/>
      <c r="M417" t="str">
        <f t="shared" si="41"/>
        <v/>
      </c>
      <c r="N417" t="str">
        <f t="shared" si="42"/>
        <v/>
      </c>
    </row>
    <row r="418" spans="1:14">
      <c r="A418" s="59" t="str">
        <f>IF(C418="","",VLOOKUP('Opći dio'!$C$3,'Opći dio'!$L$6:$U$135,10,0))</f>
        <v/>
      </c>
      <c r="B418" s="59" t="str">
        <f>IF(C418="","",VLOOKUP('Opći dio'!$C$3,'Opći dio'!$L$6:$U$135,9,0))</f>
        <v/>
      </c>
      <c r="C418" s="74"/>
      <c r="D418" s="59" t="str">
        <f t="shared" si="38"/>
        <v/>
      </c>
      <c r="E418" s="74"/>
      <c r="F418" s="59" t="str">
        <f t="shared" si="39"/>
        <v/>
      </c>
      <c r="G418" s="75"/>
      <c r="H418" s="59" t="str">
        <f t="shared" si="40"/>
        <v/>
      </c>
      <c r="I418" s="64"/>
      <c r="J418" s="64"/>
      <c r="K418" s="64"/>
      <c r="M418" t="str">
        <f t="shared" si="41"/>
        <v/>
      </c>
      <c r="N418" t="str">
        <f t="shared" si="42"/>
        <v/>
      </c>
    </row>
    <row r="419" spans="1:14">
      <c r="A419" s="59" t="str">
        <f>IF(C419="","",VLOOKUP('Opći dio'!$C$3,'Opći dio'!$L$6:$U$135,10,0))</f>
        <v/>
      </c>
      <c r="B419" s="59" t="str">
        <f>IF(C419="","",VLOOKUP('Opći dio'!$C$3,'Opći dio'!$L$6:$U$135,9,0))</f>
        <v/>
      </c>
      <c r="C419" s="74"/>
      <c r="D419" s="59" t="str">
        <f t="shared" si="38"/>
        <v/>
      </c>
      <c r="E419" s="74"/>
      <c r="F419" s="59" t="str">
        <f t="shared" si="39"/>
        <v/>
      </c>
      <c r="G419" s="75"/>
      <c r="H419" s="59" t="str">
        <f t="shared" si="40"/>
        <v/>
      </c>
      <c r="I419" s="64"/>
      <c r="J419" s="64"/>
      <c r="K419" s="64"/>
      <c r="M419" t="str">
        <f t="shared" si="41"/>
        <v/>
      </c>
      <c r="N419" t="str">
        <f t="shared" si="42"/>
        <v/>
      </c>
    </row>
    <row r="420" spans="1:14">
      <c r="A420" s="59" t="str">
        <f>IF(C420="","",VLOOKUP('Opći dio'!$C$3,'Opći dio'!$L$6:$U$135,10,0))</f>
        <v/>
      </c>
      <c r="B420" s="59" t="str">
        <f>IF(C420="","",VLOOKUP('Opći dio'!$C$3,'Opći dio'!$L$6:$U$135,9,0))</f>
        <v/>
      </c>
      <c r="C420" s="74"/>
      <c r="D420" s="59" t="str">
        <f t="shared" si="38"/>
        <v/>
      </c>
      <c r="E420" s="74"/>
      <c r="F420" s="59" t="str">
        <f t="shared" si="39"/>
        <v/>
      </c>
      <c r="G420" s="75"/>
      <c r="H420" s="59" t="str">
        <f t="shared" si="40"/>
        <v/>
      </c>
      <c r="I420" s="64"/>
      <c r="J420" s="64"/>
      <c r="K420" s="64"/>
      <c r="M420" t="str">
        <f t="shared" si="41"/>
        <v/>
      </c>
      <c r="N420" t="str">
        <f t="shared" si="42"/>
        <v/>
      </c>
    </row>
    <row r="421" spans="1:14">
      <c r="A421" s="59" t="str">
        <f>IF(C421="","",VLOOKUP('Opći dio'!$C$3,'Opći dio'!$L$6:$U$135,10,0))</f>
        <v/>
      </c>
      <c r="B421" s="59" t="str">
        <f>IF(C421="","",VLOOKUP('Opći dio'!$C$3,'Opći dio'!$L$6:$U$135,9,0))</f>
        <v/>
      </c>
      <c r="C421" s="74"/>
      <c r="D421" s="59" t="str">
        <f t="shared" si="38"/>
        <v/>
      </c>
      <c r="E421" s="74"/>
      <c r="F421" s="59" t="str">
        <f t="shared" si="39"/>
        <v/>
      </c>
      <c r="G421" s="75"/>
      <c r="H421" s="59" t="str">
        <f t="shared" si="40"/>
        <v/>
      </c>
      <c r="I421" s="64"/>
      <c r="J421" s="64"/>
      <c r="K421" s="64"/>
      <c r="M421" t="str">
        <f t="shared" si="41"/>
        <v/>
      </c>
      <c r="N421" t="str">
        <f t="shared" si="42"/>
        <v/>
      </c>
    </row>
    <row r="422" spans="1:14">
      <c r="A422" s="59" t="str">
        <f>IF(C422="","",VLOOKUP('Opći dio'!$C$3,'Opći dio'!$L$6:$U$135,10,0))</f>
        <v/>
      </c>
      <c r="B422" s="59" t="str">
        <f>IF(C422="","",VLOOKUP('Opći dio'!$C$3,'Opći dio'!$L$6:$U$135,9,0))</f>
        <v/>
      </c>
      <c r="C422" s="74"/>
      <c r="D422" s="59" t="str">
        <f t="shared" si="38"/>
        <v/>
      </c>
      <c r="E422" s="74"/>
      <c r="F422" s="59" t="str">
        <f t="shared" si="39"/>
        <v/>
      </c>
      <c r="G422" s="75"/>
      <c r="H422" s="59" t="str">
        <f t="shared" si="40"/>
        <v/>
      </c>
      <c r="I422" s="64"/>
      <c r="J422" s="64"/>
      <c r="K422" s="64"/>
      <c r="M422" t="str">
        <f t="shared" si="41"/>
        <v/>
      </c>
      <c r="N422" t="str">
        <f t="shared" si="42"/>
        <v/>
      </c>
    </row>
    <row r="423" spans="1:14">
      <c r="A423" s="59" t="str">
        <f>IF(C423="","",VLOOKUP('Opći dio'!$C$3,'Opći dio'!$L$6:$U$135,10,0))</f>
        <v/>
      </c>
      <c r="B423" s="59" t="str">
        <f>IF(C423="","",VLOOKUP('Opći dio'!$C$3,'Opći dio'!$L$6:$U$135,9,0))</f>
        <v/>
      </c>
      <c r="C423" s="74"/>
      <c r="D423" s="59" t="str">
        <f t="shared" si="38"/>
        <v/>
      </c>
      <c r="E423" s="74"/>
      <c r="F423" s="59" t="str">
        <f t="shared" si="39"/>
        <v/>
      </c>
      <c r="G423" s="75"/>
      <c r="H423" s="59" t="str">
        <f t="shared" si="40"/>
        <v/>
      </c>
      <c r="I423" s="64"/>
      <c r="J423" s="64"/>
      <c r="K423" s="64"/>
      <c r="M423" t="str">
        <f t="shared" si="41"/>
        <v/>
      </c>
      <c r="N423" t="str">
        <f t="shared" si="42"/>
        <v/>
      </c>
    </row>
    <row r="424" spans="1:14">
      <c r="A424" s="59" t="str">
        <f>IF(C424="","",VLOOKUP('Opći dio'!$C$3,'Opći dio'!$L$6:$U$135,10,0))</f>
        <v/>
      </c>
      <c r="B424" s="59" t="str">
        <f>IF(C424="","",VLOOKUP('Opći dio'!$C$3,'Opći dio'!$L$6:$U$135,9,0))</f>
        <v/>
      </c>
      <c r="C424" s="74"/>
      <c r="D424" s="59" t="str">
        <f t="shared" si="38"/>
        <v/>
      </c>
      <c r="E424" s="74"/>
      <c r="F424" s="59" t="str">
        <f t="shared" si="39"/>
        <v/>
      </c>
      <c r="G424" s="75"/>
      <c r="H424" s="59" t="str">
        <f t="shared" si="40"/>
        <v/>
      </c>
      <c r="I424" s="64"/>
      <c r="J424" s="64"/>
      <c r="K424" s="64"/>
      <c r="M424" t="str">
        <f t="shared" si="41"/>
        <v/>
      </c>
      <c r="N424" t="str">
        <f t="shared" si="42"/>
        <v/>
      </c>
    </row>
    <row r="425" spans="1:14">
      <c r="A425" s="59" t="str">
        <f>IF(C425="","",VLOOKUP('Opći dio'!$C$3,'Opći dio'!$L$6:$U$135,10,0))</f>
        <v/>
      </c>
      <c r="B425" s="59" t="str">
        <f>IF(C425="","",VLOOKUP('Opći dio'!$C$3,'Opći dio'!$L$6:$U$135,9,0))</f>
        <v/>
      </c>
      <c r="C425" s="74"/>
      <c r="D425" s="59" t="str">
        <f t="shared" si="38"/>
        <v/>
      </c>
      <c r="E425" s="74"/>
      <c r="F425" s="59" t="str">
        <f t="shared" si="39"/>
        <v/>
      </c>
      <c r="G425" s="75"/>
      <c r="H425" s="59" t="str">
        <f t="shared" si="40"/>
        <v/>
      </c>
      <c r="I425" s="64"/>
      <c r="J425" s="64"/>
      <c r="K425" s="64"/>
      <c r="M425" t="str">
        <f t="shared" si="41"/>
        <v/>
      </c>
      <c r="N425" t="str">
        <f t="shared" si="42"/>
        <v/>
      </c>
    </row>
    <row r="426" spans="1:14">
      <c r="A426" s="59" t="str">
        <f>IF(C426="","",VLOOKUP('Opći dio'!$C$3,'Opći dio'!$L$6:$U$135,10,0))</f>
        <v/>
      </c>
      <c r="B426" s="59" t="str">
        <f>IF(C426="","",VLOOKUP('Opći dio'!$C$3,'Opći dio'!$L$6:$U$135,9,0))</f>
        <v/>
      </c>
      <c r="C426" s="74"/>
      <c r="D426" s="59" t="str">
        <f t="shared" si="38"/>
        <v/>
      </c>
      <c r="E426" s="74"/>
      <c r="F426" s="59" t="str">
        <f t="shared" si="39"/>
        <v/>
      </c>
      <c r="G426" s="75"/>
      <c r="H426" s="59" t="str">
        <f t="shared" si="40"/>
        <v/>
      </c>
      <c r="I426" s="64"/>
      <c r="J426" s="64"/>
      <c r="K426" s="64"/>
      <c r="M426" t="str">
        <f t="shared" si="41"/>
        <v/>
      </c>
      <c r="N426" t="str">
        <f t="shared" si="42"/>
        <v/>
      </c>
    </row>
    <row r="427" spans="1:14">
      <c r="A427" s="59" t="str">
        <f>IF(C427="","",VLOOKUP('Opći dio'!$C$3,'Opći dio'!$L$6:$U$135,10,0))</f>
        <v/>
      </c>
      <c r="B427" s="59" t="str">
        <f>IF(C427="","",VLOOKUP('Opći dio'!$C$3,'Opći dio'!$L$6:$U$135,9,0))</f>
        <v/>
      </c>
      <c r="C427" s="74"/>
      <c r="D427" s="59" t="str">
        <f t="shared" si="38"/>
        <v/>
      </c>
      <c r="E427" s="74"/>
      <c r="F427" s="59" t="str">
        <f t="shared" si="39"/>
        <v/>
      </c>
      <c r="G427" s="75"/>
      <c r="H427" s="59" t="str">
        <f t="shared" si="40"/>
        <v/>
      </c>
      <c r="I427" s="64"/>
      <c r="J427" s="64"/>
      <c r="K427" s="64"/>
      <c r="M427" t="str">
        <f t="shared" si="41"/>
        <v/>
      </c>
      <c r="N427" t="str">
        <f t="shared" si="42"/>
        <v/>
      </c>
    </row>
    <row r="428" spans="1:14">
      <c r="A428" s="59" t="str">
        <f>IF(C428="","",VLOOKUP('Opći dio'!$C$3,'Opći dio'!$L$6:$U$135,10,0))</f>
        <v/>
      </c>
      <c r="B428" s="59" t="str">
        <f>IF(C428="","",VLOOKUP('Opći dio'!$C$3,'Opći dio'!$L$6:$U$135,9,0))</f>
        <v/>
      </c>
      <c r="C428" s="74"/>
      <c r="D428" s="59" t="str">
        <f t="shared" si="38"/>
        <v/>
      </c>
      <c r="E428" s="74"/>
      <c r="F428" s="59" t="str">
        <f t="shared" si="39"/>
        <v/>
      </c>
      <c r="G428" s="75"/>
      <c r="H428" s="59" t="str">
        <f t="shared" si="40"/>
        <v/>
      </c>
      <c r="I428" s="64"/>
      <c r="J428" s="64"/>
      <c r="K428" s="64"/>
      <c r="M428" t="str">
        <f t="shared" si="41"/>
        <v/>
      </c>
      <c r="N428" t="str">
        <f t="shared" si="42"/>
        <v/>
      </c>
    </row>
    <row r="429" spans="1:14">
      <c r="A429" s="59" t="str">
        <f>IF(C429="","",VLOOKUP('Opći dio'!$C$3,'Opći dio'!$L$6:$U$135,10,0))</f>
        <v/>
      </c>
      <c r="B429" s="59" t="str">
        <f>IF(C429="","",VLOOKUP('Opći dio'!$C$3,'Opći dio'!$L$6:$U$135,9,0))</f>
        <v/>
      </c>
      <c r="C429" s="74"/>
      <c r="D429" s="59" t="str">
        <f t="shared" si="38"/>
        <v/>
      </c>
      <c r="E429" s="74"/>
      <c r="F429" s="59" t="str">
        <f t="shared" si="39"/>
        <v/>
      </c>
      <c r="G429" s="75"/>
      <c r="H429" s="59" t="str">
        <f t="shared" si="40"/>
        <v/>
      </c>
      <c r="I429" s="64"/>
      <c r="J429" s="64"/>
      <c r="K429" s="64"/>
      <c r="M429" t="str">
        <f t="shared" si="41"/>
        <v/>
      </c>
      <c r="N429" t="str">
        <f t="shared" si="42"/>
        <v/>
      </c>
    </row>
    <row r="430" spans="1:14">
      <c r="A430" s="59" t="str">
        <f>IF(C430="","",VLOOKUP('Opći dio'!$C$3,'Opći dio'!$L$6:$U$135,10,0))</f>
        <v/>
      </c>
      <c r="B430" s="59" t="str">
        <f>IF(C430="","",VLOOKUP('Opći dio'!$C$3,'Opći dio'!$L$6:$U$135,9,0))</f>
        <v/>
      </c>
      <c r="C430" s="74"/>
      <c r="D430" s="59" t="str">
        <f t="shared" si="38"/>
        <v/>
      </c>
      <c r="E430" s="74"/>
      <c r="F430" s="59" t="str">
        <f t="shared" si="39"/>
        <v/>
      </c>
      <c r="G430" s="75"/>
      <c r="H430" s="59" t="str">
        <f t="shared" si="40"/>
        <v/>
      </c>
      <c r="I430" s="64"/>
      <c r="J430" s="64"/>
      <c r="K430" s="64"/>
      <c r="M430" t="str">
        <f t="shared" si="41"/>
        <v/>
      </c>
      <c r="N430" t="str">
        <f t="shared" si="42"/>
        <v/>
      </c>
    </row>
    <row r="431" spans="1:14">
      <c r="A431" s="59" t="str">
        <f>IF(C431="","",VLOOKUP('Opći dio'!$C$3,'Opći dio'!$L$6:$U$135,10,0))</f>
        <v/>
      </c>
      <c r="B431" s="59" t="str">
        <f>IF(C431="","",VLOOKUP('Opći dio'!$C$3,'Opći dio'!$L$6:$U$135,9,0))</f>
        <v/>
      </c>
      <c r="C431" s="74"/>
      <c r="D431" s="59" t="str">
        <f t="shared" si="38"/>
        <v/>
      </c>
      <c r="E431" s="74"/>
      <c r="F431" s="59" t="str">
        <f t="shared" si="39"/>
        <v/>
      </c>
      <c r="G431" s="75"/>
      <c r="H431" s="59" t="str">
        <f t="shared" si="40"/>
        <v/>
      </c>
      <c r="I431" s="64"/>
      <c r="J431" s="64"/>
      <c r="K431" s="64"/>
      <c r="M431" t="str">
        <f t="shared" si="41"/>
        <v/>
      </c>
      <c r="N431" t="str">
        <f t="shared" si="42"/>
        <v/>
      </c>
    </row>
    <row r="432" spans="1:14">
      <c r="A432" s="59" t="str">
        <f>IF(C432="","",VLOOKUP('Opći dio'!$C$3,'Opći dio'!$L$6:$U$135,10,0))</f>
        <v/>
      </c>
      <c r="B432" s="59" t="str">
        <f>IF(C432="","",VLOOKUP('Opći dio'!$C$3,'Opći dio'!$L$6:$U$135,9,0))</f>
        <v/>
      </c>
      <c r="C432" s="74"/>
      <c r="D432" s="59" t="str">
        <f t="shared" si="38"/>
        <v/>
      </c>
      <c r="E432" s="74"/>
      <c r="F432" s="59" t="str">
        <f t="shared" si="39"/>
        <v/>
      </c>
      <c r="G432" s="75"/>
      <c r="H432" s="59" t="str">
        <f t="shared" si="40"/>
        <v/>
      </c>
      <c r="I432" s="64"/>
      <c r="J432" s="64"/>
      <c r="K432" s="64"/>
      <c r="M432" t="str">
        <f t="shared" si="41"/>
        <v/>
      </c>
      <c r="N432" t="str">
        <f t="shared" si="42"/>
        <v/>
      </c>
    </row>
    <row r="433" spans="1:14">
      <c r="A433" s="59" t="str">
        <f>IF(C433="","",VLOOKUP('Opći dio'!$C$3,'Opći dio'!$L$6:$U$135,10,0))</f>
        <v/>
      </c>
      <c r="B433" s="59" t="str">
        <f>IF(C433="","",VLOOKUP('Opći dio'!$C$3,'Opći dio'!$L$6:$U$135,9,0))</f>
        <v/>
      </c>
      <c r="C433" s="74"/>
      <c r="D433" s="59" t="str">
        <f t="shared" si="38"/>
        <v/>
      </c>
      <c r="E433" s="74"/>
      <c r="F433" s="59" t="str">
        <f t="shared" si="39"/>
        <v/>
      </c>
      <c r="G433" s="75"/>
      <c r="H433" s="59" t="str">
        <f t="shared" si="40"/>
        <v/>
      </c>
      <c r="I433" s="64"/>
      <c r="J433" s="64"/>
      <c r="K433" s="64"/>
      <c r="M433" t="str">
        <f t="shared" si="41"/>
        <v/>
      </c>
      <c r="N433" t="str">
        <f t="shared" si="42"/>
        <v/>
      </c>
    </row>
    <row r="434" spans="1:14">
      <c r="A434" s="59" t="str">
        <f>IF(C434="","",VLOOKUP('Opći dio'!$C$3,'Opći dio'!$L$6:$U$135,10,0))</f>
        <v/>
      </c>
      <c r="B434" s="59" t="str">
        <f>IF(C434="","",VLOOKUP('Opći dio'!$C$3,'Opći dio'!$L$6:$U$135,9,0))</f>
        <v/>
      </c>
      <c r="C434" s="74"/>
      <c r="D434" s="59" t="str">
        <f t="shared" si="38"/>
        <v/>
      </c>
      <c r="E434" s="74"/>
      <c r="F434" s="59" t="str">
        <f t="shared" si="39"/>
        <v/>
      </c>
      <c r="G434" s="75"/>
      <c r="H434" s="59" t="str">
        <f t="shared" si="40"/>
        <v/>
      </c>
      <c r="I434" s="64"/>
      <c r="J434" s="64"/>
      <c r="K434" s="64"/>
      <c r="M434" t="str">
        <f t="shared" si="41"/>
        <v/>
      </c>
      <c r="N434" t="str">
        <f t="shared" si="42"/>
        <v/>
      </c>
    </row>
    <row r="435" spans="1:14">
      <c r="A435" s="59" t="str">
        <f>IF(C435="","",VLOOKUP('Opći dio'!$C$3,'Opći dio'!$L$6:$U$135,10,0))</f>
        <v/>
      </c>
      <c r="B435" s="59" t="str">
        <f>IF(C435="","",VLOOKUP('Opći dio'!$C$3,'Opći dio'!$L$6:$U$135,9,0))</f>
        <v/>
      </c>
      <c r="C435" s="74"/>
      <c r="D435" s="59" t="str">
        <f t="shared" si="38"/>
        <v/>
      </c>
      <c r="E435" s="74"/>
      <c r="F435" s="59" t="str">
        <f t="shared" si="39"/>
        <v/>
      </c>
      <c r="G435" s="75"/>
      <c r="H435" s="59" t="str">
        <f t="shared" si="40"/>
        <v/>
      </c>
      <c r="I435" s="64"/>
      <c r="J435" s="64"/>
      <c r="K435" s="64"/>
      <c r="M435" t="str">
        <f t="shared" si="41"/>
        <v/>
      </c>
      <c r="N435" t="str">
        <f t="shared" si="42"/>
        <v/>
      </c>
    </row>
    <row r="436" spans="1:14">
      <c r="A436" s="59" t="str">
        <f>IF(C436="","",VLOOKUP('Opći dio'!$C$3,'Opći dio'!$L$6:$U$135,10,0))</f>
        <v/>
      </c>
      <c r="B436" s="59" t="str">
        <f>IF(C436="","",VLOOKUP('Opći dio'!$C$3,'Opći dio'!$L$6:$U$135,9,0))</f>
        <v/>
      </c>
      <c r="C436" s="74"/>
      <c r="D436" s="59" t="str">
        <f t="shared" si="38"/>
        <v/>
      </c>
      <c r="E436" s="74"/>
      <c r="F436" s="59" t="str">
        <f t="shared" si="39"/>
        <v/>
      </c>
      <c r="G436" s="75"/>
      <c r="H436" s="59" t="str">
        <f t="shared" si="40"/>
        <v/>
      </c>
      <c r="I436" s="64"/>
      <c r="J436" s="64"/>
      <c r="K436" s="64"/>
      <c r="M436" t="str">
        <f t="shared" si="41"/>
        <v/>
      </c>
      <c r="N436" t="str">
        <f t="shared" si="42"/>
        <v/>
      </c>
    </row>
    <row r="437" spans="1:14">
      <c r="A437" s="59" t="str">
        <f>IF(C437="","",VLOOKUP('Opći dio'!$C$3,'Opći dio'!$L$6:$U$135,10,0))</f>
        <v/>
      </c>
      <c r="B437" s="59" t="str">
        <f>IF(C437="","",VLOOKUP('Opći dio'!$C$3,'Opći dio'!$L$6:$U$135,9,0))</f>
        <v/>
      </c>
      <c r="C437" s="74"/>
      <c r="D437" s="59" t="str">
        <f t="shared" si="38"/>
        <v/>
      </c>
      <c r="E437" s="74"/>
      <c r="F437" s="59" t="str">
        <f t="shared" si="39"/>
        <v/>
      </c>
      <c r="G437" s="75"/>
      <c r="H437" s="59" t="str">
        <f t="shared" si="40"/>
        <v/>
      </c>
      <c r="I437" s="64"/>
      <c r="J437" s="64"/>
      <c r="K437" s="64"/>
      <c r="M437" t="str">
        <f t="shared" si="41"/>
        <v/>
      </c>
      <c r="N437" t="str">
        <f t="shared" si="42"/>
        <v/>
      </c>
    </row>
    <row r="438" spans="1:14">
      <c r="A438" s="59" t="str">
        <f>IF(C438="","",VLOOKUP('Opći dio'!$C$3,'Opći dio'!$L$6:$U$135,10,0))</f>
        <v/>
      </c>
      <c r="B438" s="59" t="str">
        <f>IF(C438="","",VLOOKUP('Opći dio'!$C$3,'Opći dio'!$L$6:$U$135,9,0))</f>
        <v/>
      </c>
      <c r="C438" s="74"/>
      <c r="D438" s="59" t="str">
        <f t="shared" si="38"/>
        <v/>
      </c>
      <c r="E438" s="74"/>
      <c r="F438" s="59" t="str">
        <f t="shared" si="39"/>
        <v/>
      </c>
      <c r="G438" s="75"/>
      <c r="H438" s="59" t="str">
        <f t="shared" si="40"/>
        <v/>
      </c>
      <c r="I438" s="64"/>
      <c r="J438" s="64"/>
      <c r="K438" s="64"/>
      <c r="M438" t="str">
        <f t="shared" si="41"/>
        <v/>
      </c>
      <c r="N438" t="str">
        <f t="shared" si="42"/>
        <v/>
      </c>
    </row>
    <row r="439" spans="1:14">
      <c r="A439" s="59" t="str">
        <f>IF(C439="","",VLOOKUP('Opći dio'!$C$3,'Opći dio'!$L$6:$U$135,10,0))</f>
        <v/>
      </c>
      <c r="B439" s="59" t="str">
        <f>IF(C439="","",VLOOKUP('Opći dio'!$C$3,'Opći dio'!$L$6:$U$135,9,0))</f>
        <v/>
      </c>
      <c r="C439" s="74"/>
      <c r="D439" s="59" t="str">
        <f t="shared" si="38"/>
        <v/>
      </c>
      <c r="E439" s="74"/>
      <c r="F439" s="59" t="str">
        <f t="shared" si="39"/>
        <v/>
      </c>
      <c r="G439" s="75"/>
      <c r="H439" s="59" t="str">
        <f t="shared" si="40"/>
        <v/>
      </c>
      <c r="I439" s="64"/>
      <c r="J439" s="64"/>
      <c r="K439" s="64"/>
      <c r="M439" t="str">
        <f t="shared" si="41"/>
        <v/>
      </c>
      <c r="N439" t="str">
        <f t="shared" si="42"/>
        <v/>
      </c>
    </row>
    <row r="440" spans="1:14">
      <c r="A440" s="59" t="str">
        <f>IF(C440="","",VLOOKUP('Opći dio'!$C$3,'Opći dio'!$L$6:$U$135,10,0))</f>
        <v/>
      </c>
      <c r="B440" s="59" t="str">
        <f>IF(C440="","",VLOOKUP('Opći dio'!$C$3,'Opći dio'!$L$6:$U$135,9,0))</f>
        <v/>
      </c>
      <c r="C440" s="74"/>
      <c r="D440" s="59" t="str">
        <f t="shared" si="38"/>
        <v/>
      </c>
      <c r="E440" s="74"/>
      <c r="F440" s="59" t="str">
        <f t="shared" si="39"/>
        <v/>
      </c>
      <c r="G440" s="75"/>
      <c r="H440" s="59" t="str">
        <f t="shared" si="40"/>
        <v/>
      </c>
      <c r="I440" s="64"/>
      <c r="J440" s="64"/>
      <c r="K440" s="64"/>
      <c r="M440" t="str">
        <f t="shared" si="41"/>
        <v/>
      </c>
      <c r="N440" t="str">
        <f t="shared" si="42"/>
        <v/>
      </c>
    </row>
    <row r="441" spans="1:14">
      <c r="A441" s="59" t="str">
        <f>IF(C441="","",VLOOKUP('Opći dio'!$C$3,'Opći dio'!$L$6:$U$135,10,0))</f>
        <v/>
      </c>
      <c r="B441" s="59" t="str">
        <f>IF(C441="","",VLOOKUP('Opći dio'!$C$3,'Opći dio'!$L$6:$U$135,9,0))</f>
        <v/>
      </c>
      <c r="C441" s="74"/>
      <c r="D441" s="59" t="str">
        <f t="shared" si="38"/>
        <v/>
      </c>
      <c r="E441" s="74"/>
      <c r="F441" s="59" t="str">
        <f t="shared" si="39"/>
        <v/>
      </c>
      <c r="G441" s="75"/>
      <c r="H441" s="59" t="str">
        <f t="shared" si="40"/>
        <v/>
      </c>
      <c r="I441" s="64"/>
      <c r="J441" s="64"/>
      <c r="K441" s="64"/>
      <c r="M441" t="str">
        <f t="shared" si="41"/>
        <v/>
      </c>
      <c r="N441" t="str">
        <f t="shared" si="42"/>
        <v/>
      </c>
    </row>
    <row r="442" spans="1:14">
      <c r="A442" s="59" t="str">
        <f>IF(C442="","",VLOOKUP('Opći dio'!$C$3,'Opći dio'!$L$6:$U$135,10,0))</f>
        <v/>
      </c>
      <c r="B442" s="59" t="str">
        <f>IF(C442="","",VLOOKUP('Opći dio'!$C$3,'Opći dio'!$L$6:$U$135,9,0))</f>
        <v/>
      </c>
      <c r="C442" s="74"/>
      <c r="D442" s="59" t="str">
        <f t="shared" si="38"/>
        <v/>
      </c>
      <c r="E442" s="74"/>
      <c r="F442" s="59" t="str">
        <f t="shared" si="39"/>
        <v/>
      </c>
      <c r="G442" s="75"/>
      <c r="H442" s="59" t="str">
        <f t="shared" si="40"/>
        <v/>
      </c>
      <c r="I442" s="64"/>
      <c r="J442" s="64"/>
      <c r="K442" s="64"/>
      <c r="M442" t="str">
        <f t="shared" si="41"/>
        <v/>
      </c>
      <c r="N442" t="str">
        <f t="shared" si="42"/>
        <v/>
      </c>
    </row>
    <row r="443" spans="1:14">
      <c r="A443" s="59" t="str">
        <f>IF(C443="","",VLOOKUP('Opći dio'!$C$3,'Opći dio'!$L$6:$U$135,10,0))</f>
        <v/>
      </c>
      <c r="B443" s="59" t="str">
        <f>IF(C443="","",VLOOKUP('Opći dio'!$C$3,'Opći dio'!$L$6:$U$135,9,0))</f>
        <v/>
      </c>
      <c r="C443" s="74"/>
      <c r="D443" s="59" t="str">
        <f t="shared" si="38"/>
        <v/>
      </c>
      <c r="E443" s="74"/>
      <c r="F443" s="59" t="str">
        <f t="shared" si="39"/>
        <v/>
      </c>
      <c r="G443" s="75"/>
      <c r="H443" s="59" t="str">
        <f t="shared" si="40"/>
        <v/>
      </c>
      <c r="I443" s="64"/>
      <c r="J443" s="64"/>
      <c r="K443" s="64"/>
      <c r="M443" t="str">
        <f t="shared" si="41"/>
        <v/>
      </c>
      <c r="N443" t="str">
        <f t="shared" si="42"/>
        <v/>
      </c>
    </row>
    <row r="444" spans="1:14">
      <c r="A444" s="59" t="str">
        <f>IF(C444="","",VLOOKUP('Opći dio'!$C$3,'Opći dio'!$L$6:$U$135,10,0))</f>
        <v/>
      </c>
      <c r="B444" s="59" t="str">
        <f>IF(C444="","",VLOOKUP('Opći dio'!$C$3,'Opći dio'!$L$6:$U$135,9,0))</f>
        <v/>
      </c>
      <c r="C444" s="74"/>
      <c r="D444" s="59" t="str">
        <f t="shared" si="38"/>
        <v/>
      </c>
      <c r="E444" s="74"/>
      <c r="F444" s="59" t="str">
        <f t="shared" si="39"/>
        <v/>
      </c>
      <c r="G444" s="75"/>
      <c r="H444" s="59" t="str">
        <f t="shared" si="40"/>
        <v/>
      </c>
      <c r="I444" s="64"/>
      <c r="J444" s="64"/>
      <c r="K444" s="64"/>
      <c r="M444" t="str">
        <f t="shared" si="41"/>
        <v/>
      </c>
      <c r="N444" t="str">
        <f t="shared" si="42"/>
        <v/>
      </c>
    </row>
    <row r="445" spans="1:14">
      <c r="A445" s="59" t="str">
        <f>IF(C445="","",VLOOKUP('Opći dio'!$C$3,'Opći dio'!$L$6:$U$135,10,0))</f>
        <v/>
      </c>
      <c r="B445" s="59" t="str">
        <f>IF(C445="","",VLOOKUP('Opći dio'!$C$3,'Opći dio'!$L$6:$U$135,9,0))</f>
        <v/>
      </c>
      <c r="C445" s="74"/>
      <c r="D445" s="59" t="str">
        <f t="shared" si="38"/>
        <v/>
      </c>
      <c r="E445" s="74"/>
      <c r="F445" s="59" t="str">
        <f t="shared" si="39"/>
        <v/>
      </c>
      <c r="G445" s="75"/>
      <c r="H445" s="59" t="str">
        <f t="shared" si="40"/>
        <v/>
      </c>
      <c r="I445" s="64"/>
      <c r="J445" s="64"/>
      <c r="K445" s="64"/>
      <c r="M445" t="str">
        <f t="shared" si="41"/>
        <v/>
      </c>
      <c r="N445" t="str">
        <f t="shared" si="42"/>
        <v/>
      </c>
    </row>
    <row r="446" spans="1:14">
      <c r="A446" s="59" t="str">
        <f>IF(C446="","",VLOOKUP('Opći dio'!$C$3,'Opći dio'!$L$6:$U$135,10,0))</f>
        <v/>
      </c>
      <c r="B446" s="59" t="str">
        <f>IF(C446="","",VLOOKUP('Opći dio'!$C$3,'Opći dio'!$L$6:$U$135,9,0))</f>
        <v/>
      </c>
      <c r="C446" s="74"/>
      <c r="D446" s="59" t="str">
        <f t="shared" si="38"/>
        <v/>
      </c>
      <c r="E446" s="74"/>
      <c r="F446" s="59" t="str">
        <f t="shared" si="39"/>
        <v/>
      </c>
      <c r="G446" s="75"/>
      <c r="H446" s="59" t="str">
        <f t="shared" si="40"/>
        <v/>
      </c>
      <c r="I446" s="64"/>
      <c r="J446" s="64"/>
      <c r="K446" s="64"/>
      <c r="M446" t="str">
        <f t="shared" si="41"/>
        <v/>
      </c>
      <c r="N446" t="str">
        <f t="shared" si="42"/>
        <v/>
      </c>
    </row>
    <row r="447" spans="1:14">
      <c r="A447" s="59" t="str">
        <f>IF(C447="","",VLOOKUP('Opći dio'!$C$3,'Opći dio'!$L$6:$U$135,10,0))</f>
        <v/>
      </c>
      <c r="B447" s="59" t="str">
        <f>IF(C447="","",VLOOKUP('Opći dio'!$C$3,'Opći dio'!$L$6:$U$135,9,0))</f>
        <v/>
      </c>
      <c r="C447" s="74"/>
      <c r="D447" s="59" t="str">
        <f t="shared" si="38"/>
        <v/>
      </c>
      <c r="E447" s="74"/>
      <c r="F447" s="59" t="str">
        <f t="shared" si="39"/>
        <v/>
      </c>
      <c r="G447" s="75"/>
      <c r="H447" s="59" t="str">
        <f t="shared" si="40"/>
        <v/>
      </c>
      <c r="I447" s="64"/>
      <c r="J447" s="64"/>
      <c r="K447" s="64"/>
      <c r="M447" t="str">
        <f t="shared" si="41"/>
        <v/>
      </c>
      <c r="N447" t="str">
        <f t="shared" si="42"/>
        <v/>
      </c>
    </row>
    <row r="448" spans="1:14">
      <c r="A448" s="59" t="str">
        <f>IF(C448="","",VLOOKUP('Opći dio'!$C$3,'Opći dio'!$L$6:$U$135,10,0))</f>
        <v/>
      </c>
      <c r="B448" s="59" t="str">
        <f>IF(C448="","",VLOOKUP('Opći dio'!$C$3,'Opći dio'!$L$6:$U$135,9,0))</f>
        <v/>
      </c>
      <c r="C448" s="74"/>
      <c r="D448" s="59" t="str">
        <f t="shared" si="38"/>
        <v/>
      </c>
      <c r="E448" s="74"/>
      <c r="F448" s="59" t="str">
        <f t="shared" si="39"/>
        <v/>
      </c>
      <c r="G448" s="75"/>
      <c r="H448" s="59" t="str">
        <f t="shared" si="40"/>
        <v/>
      </c>
      <c r="I448" s="64"/>
      <c r="J448" s="64"/>
      <c r="K448" s="64"/>
      <c r="M448" t="str">
        <f t="shared" si="41"/>
        <v/>
      </c>
      <c r="N448" t="str">
        <f t="shared" si="42"/>
        <v/>
      </c>
    </row>
    <row r="449" spans="1:14">
      <c r="A449" s="59" t="str">
        <f>IF(C449="","",VLOOKUP('Opći dio'!$C$3,'Opći dio'!$L$6:$U$135,10,0))</f>
        <v/>
      </c>
      <c r="B449" s="59" t="str">
        <f>IF(C449="","",VLOOKUP('Opći dio'!$C$3,'Opći dio'!$L$6:$U$135,9,0))</f>
        <v/>
      </c>
      <c r="C449" s="74"/>
      <c r="D449" s="59" t="str">
        <f t="shared" si="38"/>
        <v/>
      </c>
      <c r="E449" s="74"/>
      <c r="F449" s="59" t="str">
        <f t="shared" si="39"/>
        <v/>
      </c>
      <c r="G449" s="75"/>
      <c r="H449" s="59" t="str">
        <f t="shared" si="40"/>
        <v/>
      </c>
      <c r="I449" s="64"/>
      <c r="J449" s="64"/>
      <c r="K449" s="64"/>
      <c r="M449" t="str">
        <f t="shared" si="41"/>
        <v/>
      </c>
      <c r="N449" t="str">
        <f t="shared" si="42"/>
        <v/>
      </c>
    </row>
    <row r="450" spans="1:14">
      <c r="A450" s="59" t="str">
        <f>IF(C450="","",VLOOKUP('Opći dio'!$C$3,'Opći dio'!$L$6:$U$135,10,0))</f>
        <v/>
      </c>
      <c r="B450" s="59" t="str">
        <f>IF(C450="","",VLOOKUP('Opći dio'!$C$3,'Opći dio'!$L$6:$U$135,9,0))</f>
        <v/>
      </c>
      <c r="C450" s="74"/>
      <c r="D450" s="59" t="str">
        <f t="shared" si="38"/>
        <v/>
      </c>
      <c r="E450" s="74"/>
      <c r="F450" s="59" t="str">
        <f t="shared" si="39"/>
        <v/>
      </c>
      <c r="G450" s="75"/>
      <c r="H450" s="59" t="str">
        <f t="shared" si="40"/>
        <v/>
      </c>
      <c r="I450" s="64"/>
      <c r="J450" s="64"/>
      <c r="K450" s="64"/>
      <c r="M450" t="str">
        <f t="shared" si="41"/>
        <v/>
      </c>
      <c r="N450" t="str">
        <f t="shared" si="42"/>
        <v/>
      </c>
    </row>
    <row r="451" spans="1:14">
      <c r="A451" s="59" t="str">
        <f>IF(C451="","",VLOOKUP('Opći dio'!$C$3,'Opći dio'!$L$6:$U$135,10,0))</f>
        <v/>
      </c>
      <c r="B451" s="59" t="str">
        <f>IF(C451="","",VLOOKUP('Opći dio'!$C$3,'Opći dio'!$L$6:$U$135,9,0))</f>
        <v/>
      </c>
      <c r="C451" s="74"/>
      <c r="D451" s="59" t="str">
        <f t="shared" ref="D451:D501" si="43">IFERROR(VLOOKUP(C451,$O$6:$P$16,2,0),"")</f>
        <v/>
      </c>
      <c r="E451" s="74"/>
      <c r="F451" s="59" t="str">
        <f t="shared" ref="F451:F501" si="44">IFERROR(VLOOKUP(E451,$R$5:$T$129,2,0),"")</f>
        <v/>
      </c>
      <c r="G451" s="75"/>
      <c r="H451" s="59" t="str">
        <f t="shared" ref="H451:H501" si="45">IFERROR(VLOOKUP(G451,$X$6:$Y$50,2,0),"")</f>
        <v/>
      </c>
      <c r="I451" s="64"/>
      <c r="J451" s="64"/>
      <c r="K451" s="64"/>
      <c r="M451" t="str">
        <f t="shared" ref="M451:M501" si="46">LEFT(E451,3)</f>
        <v/>
      </c>
      <c r="N451" t="str">
        <f t="shared" ref="N451:N501" si="47">LEFT(E451,2)</f>
        <v/>
      </c>
    </row>
    <row r="452" spans="1:14">
      <c r="A452" s="59" t="str">
        <f>IF(C452="","",VLOOKUP('Opći dio'!$C$3,'Opći dio'!$L$6:$U$135,10,0))</f>
        <v/>
      </c>
      <c r="B452" s="59" t="str">
        <f>IF(C452="","",VLOOKUP('Opći dio'!$C$3,'Opći dio'!$L$6:$U$135,9,0))</f>
        <v/>
      </c>
      <c r="C452" s="74"/>
      <c r="D452" s="59" t="str">
        <f t="shared" si="43"/>
        <v/>
      </c>
      <c r="E452" s="74"/>
      <c r="F452" s="59" t="str">
        <f t="shared" si="44"/>
        <v/>
      </c>
      <c r="G452" s="75"/>
      <c r="H452" s="59" t="str">
        <f t="shared" si="45"/>
        <v/>
      </c>
      <c r="I452" s="64"/>
      <c r="J452" s="64"/>
      <c r="K452" s="64"/>
      <c r="M452" t="str">
        <f t="shared" si="46"/>
        <v/>
      </c>
      <c r="N452" t="str">
        <f t="shared" si="47"/>
        <v/>
      </c>
    </row>
    <row r="453" spans="1:14">
      <c r="A453" s="59" t="str">
        <f>IF(C453="","",VLOOKUP('Opći dio'!$C$3,'Opći dio'!$L$6:$U$135,10,0))</f>
        <v/>
      </c>
      <c r="B453" s="59" t="str">
        <f>IF(C453="","",VLOOKUP('Opći dio'!$C$3,'Opći dio'!$L$6:$U$135,9,0))</f>
        <v/>
      </c>
      <c r="C453" s="74"/>
      <c r="D453" s="59" t="str">
        <f t="shared" si="43"/>
        <v/>
      </c>
      <c r="E453" s="74"/>
      <c r="F453" s="59" t="str">
        <f t="shared" si="44"/>
        <v/>
      </c>
      <c r="G453" s="75"/>
      <c r="H453" s="59" t="str">
        <f t="shared" si="45"/>
        <v/>
      </c>
      <c r="I453" s="64"/>
      <c r="J453" s="64"/>
      <c r="K453" s="64"/>
      <c r="M453" t="str">
        <f t="shared" si="46"/>
        <v/>
      </c>
      <c r="N453" t="str">
        <f t="shared" si="47"/>
        <v/>
      </c>
    </row>
    <row r="454" spans="1:14">
      <c r="A454" s="59" t="str">
        <f>IF(C454="","",VLOOKUP('Opći dio'!$C$3,'Opći dio'!$L$6:$U$135,10,0))</f>
        <v/>
      </c>
      <c r="B454" s="59" t="str">
        <f>IF(C454="","",VLOOKUP('Opći dio'!$C$3,'Opći dio'!$L$6:$U$135,9,0))</f>
        <v/>
      </c>
      <c r="C454" s="74"/>
      <c r="D454" s="59" t="str">
        <f t="shared" si="43"/>
        <v/>
      </c>
      <c r="E454" s="74"/>
      <c r="F454" s="59" t="str">
        <f t="shared" si="44"/>
        <v/>
      </c>
      <c r="G454" s="75"/>
      <c r="H454" s="59" t="str">
        <f t="shared" si="45"/>
        <v/>
      </c>
      <c r="I454" s="64"/>
      <c r="J454" s="64"/>
      <c r="K454" s="64"/>
      <c r="M454" t="str">
        <f t="shared" si="46"/>
        <v/>
      </c>
      <c r="N454" t="str">
        <f t="shared" si="47"/>
        <v/>
      </c>
    </row>
    <row r="455" spans="1:14">
      <c r="A455" s="59" t="str">
        <f>IF(C455="","",VLOOKUP('Opći dio'!$C$3,'Opći dio'!$L$6:$U$135,10,0))</f>
        <v/>
      </c>
      <c r="B455" s="59" t="str">
        <f>IF(C455="","",VLOOKUP('Opći dio'!$C$3,'Opći dio'!$L$6:$U$135,9,0))</f>
        <v/>
      </c>
      <c r="C455" s="74"/>
      <c r="D455" s="59" t="str">
        <f t="shared" si="43"/>
        <v/>
      </c>
      <c r="E455" s="74"/>
      <c r="F455" s="59" t="str">
        <f t="shared" si="44"/>
        <v/>
      </c>
      <c r="G455" s="75"/>
      <c r="H455" s="59" t="str">
        <f t="shared" si="45"/>
        <v/>
      </c>
      <c r="I455" s="64"/>
      <c r="J455" s="64"/>
      <c r="K455" s="64"/>
      <c r="M455" t="str">
        <f t="shared" si="46"/>
        <v/>
      </c>
      <c r="N455" t="str">
        <f t="shared" si="47"/>
        <v/>
      </c>
    </row>
    <row r="456" spans="1:14">
      <c r="A456" s="59" t="str">
        <f>IF(C456="","",VLOOKUP('Opći dio'!$C$3,'Opći dio'!$L$6:$U$135,10,0))</f>
        <v/>
      </c>
      <c r="B456" s="59" t="str">
        <f>IF(C456="","",VLOOKUP('Opći dio'!$C$3,'Opći dio'!$L$6:$U$135,9,0))</f>
        <v/>
      </c>
      <c r="C456" s="74"/>
      <c r="D456" s="59" t="str">
        <f t="shared" si="43"/>
        <v/>
      </c>
      <c r="E456" s="74"/>
      <c r="F456" s="59" t="str">
        <f t="shared" si="44"/>
        <v/>
      </c>
      <c r="G456" s="75"/>
      <c r="H456" s="59" t="str">
        <f t="shared" si="45"/>
        <v/>
      </c>
      <c r="I456" s="64"/>
      <c r="J456" s="64"/>
      <c r="K456" s="64"/>
      <c r="M456" t="str">
        <f t="shared" si="46"/>
        <v/>
      </c>
      <c r="N456" t="str">
        <f t="shared" si="47"/>
        <v/>
      </c>
    </row>
    <row r="457" spans="1:14">
      <c r="A457" s="59" t="str">
        <f>IF(C457="","",VLOOKUP('Opći dio'!$C$3,'Opći dio'!$L$6:$U$135,10,0))</f>
        <v/>
      </c>
      <c r="B457" s="59" t="str">
        <f>IF(C457="","",VLOOKUP('Opći dio'!$C$3,'Opći dio'!$L$6:$U$135,9,0))</f>
        <v/>
      </c>
      <c r="C457" s="74"/>
      <c r="D457" s="59" t="str">
        <f t="shared" si="43"/>
        <v/>
      </c>
      <c r="E457" s="74"/>
      <c r="F457" s="59" t="str">
        <f t="shared" si="44"/>
        <v/>
      </c>
      <c r="G457" s="75"/>
      <c r="H457" s="59" t="str">
        <f t="shared" si="45"/>
        <v/>
      </c>
      <c r="I457" s="64"/>
      <c r="J457" s="64"/>
      <c r="K457" s="64"/>
      <c r="M457" t="str">
        <f t="shared" si="46"/>
        <v/>
      </c>
      <c r="N457" t="str">
        <f t="shared" si="47"/>
        <v/>
      </c>
    </row>
    <row r="458" spans="1:14">
      <c r="A458" s="59" t="str">
        <f>IF(C458="","",VLOOKUP('Opći dio'!$C$3,'Opći dio'!$L$6:$U$135,10,0))</f>
        <v/>
      </c>
      <c r="B458" s="59" t="str">
        <f>IF(C458="","",VLOOKUP('Opći dio'!$C$3,'Opći dio'!$L$6:$U$135,9,0))</f>
        <v/>
      </c>
      <c r="C458" s="74"/>
      <c r="D458" s="59" t="str">
        <f t="shared" si="43"/>
        <v/>
      </c>
      <c r="E458" s="74"/>
      <c r="F458" s="59" t="str">
        <f t="shared" si="44"/>
        <v/>
      </c>
      <c r="G458" s="75"/>
      <c r="H458" s="59" t="str">
        <f t="shared" si="45"/>
        <v/>
      </c>
      <c r="I458" s="64"/>
      <c r="J458" s="64"/>
      <c r="K458" s="64"/>
      <c r="M458" t="str">
        <f t="shared" si="46"/>
        <v/>
      </c>
      <c r="N458" t="str">
        <f t="shared" si="47"/>
        <v/>
      </c>
    </row>
    <row r="459" spans="1:14">
      <c r="A459" s="59" t="str">
        <f>IF(C459="","",VLOOKUP('Opći dio'!$C$3,'Opći dio'!$L$6:$U$135,10,0))</f>
        <v/>
      </c>
      <c r="B459" s="59" t="str">
        <f>IF(C459="","",VLOOKUP('Opći dio'!$C$3,'Opći dio'!$L$6:$U$135,9,0))</f>
        <v/>
      </c>
      <c r="C459" s="74"/>
      <c r="D459" s="59" t="str">
        <f t="shared" si="43"/>
        <v/>
      </c>
      <c r="E459" s="74"/>
      <c r="F459" s="59" t="str">
        <f t="shared" si="44"/>
        <v/>
      </c>
      <c r="G459" s="75"/>
      <c r="H459" s="59" t="str">
        <f t="shared" si="45"/>
        <v/>
      </c>
      <c r="I459" s="64"/>
      <c r="J459" s="64"/>
      <c r="K459" s="64"/>
      <c r="M459" t="str">
        <f t="shared" si="46"/>
        <v/>
      </c>
      <c r="N459" t="str">
        <f t="shared" si="47"/>
        <v/>
      </c>
    </row>
    <row r="460" spans="1:14">
      <c r="A460" s="59" t="str">
        <f>IF(C460="","",VLOOKUP('Opći dio'!$C$3,'Opći dio'!$L$6:$U$135,10,0))</f>
        <v/>
      </c>
      <c r="B460" s="59" t="str">
        <f>IF(C460="","",VLOOKUP('Opći dio'!$C$3,'Opći dio'!$L$6:$U$135,9,0))</f>
        <v/>
      </c>
      <c r="C460" s="74"/>
      <c r="D460" s="59" t="str">
        <f t="shared" si="43"/>
        <v/>
      </c>
      <c r="E460" s="74"/>
      <c r="F460" s="59" t="str">
        <f t="shared" si="44"/>
        <v/>
      </c>
      <c r="G460" s="75"/>
      <c r="H460" s="59" t="str">
        <f t="shared" si="45"/>
        <v/>
      </c>
      <c r="I460" s="64"/>
      <c r="J460" s="64"/>
      <c r="K460" s="64"/>
      <c r="M460" t="str">
        <f t="shared" si="46"/>
        <v/>
      </c>
      <c r="N460" t="str">
        <f t="shared" si="47"/>
        <v/>
      </c>
    </row>
    <row r="461" spans="1:14">
      <c r="A461" s="59" t="str">
        <f>IF(C461="","",VLOOKUP('Opći dio'!$C$3,'Opći dio'!$L$6:$U$135,10,0))</f>
        <v/>
      </c>
      <c r="B461" s="59" t="str">
        <f>IF(C461="","",VLOOKUP('Opći dio'!$C$3,'Opći dio'!$L$6:$U$135,9,0))</f>
        <v/>
      </c>
      <c r="C461" s="74"/>
      <c r="D461" s="59" t="str">
        <f t="shared" si="43"/>
        <v/>
      </c>
      <c r="E461" s="74"/>
      <c r="F461" s="59" t="str">
        <f t="shared" si="44"/>
        <v/>
      </c>
      <c r="G461" s="75"/>
      <c r="H461" s="59" t="str">
        <f t="shared" si="45"/>
        <v/>
      </c>
      <c r="I461" s="64"/>
      <c r="J461" s="64"/>
      <c r="K461" s="64"/>
      <c r="M461" t="str">
        <f t="shared" si="46"/>
        <v/>
      </c>
      <c r="N461" t="str">
        <f t="shared" si="47"/>
        <v/>
      </c>
    </row>
    <row r="462" spans="1:14">
      <c r="A462" s="59" t="str">
        <f>IF(C462="","",VLOOKUP('Opći dio'!$C$3,'Opći dio'!$L$6:$U$135,10,0))</f>
        <v/>
      </c>
      <c r="B462" s="59" t="str">
        <f>IF(C462="","",VLOOKUP('Opći dio'!$C$3,'Opći dio'!$L$6:$U$135,9,0))</f>
        <v/>
      </c>
      <c r="C462" s="74"/>
      <c r="D462" s="59" t="str">
        <f t="shared" si="43"/>
        <v/>
      </c>
      <c r="E462" s="74"/>
      <c r="F462" s="59" t="str">
        <f t="shared" si="44"/>
        <v/>
      </c>
      <c r="G462" s="75"/>
      <c r="H462" s="59" t="str">
        <f t="shared" si="45"/>
        <v/>
      </c>
      <c r="I462" s="64"/>
      <c r="J462" s="64"/>
      <c r="K462" s="64"/>
      <c r="M462" t="str">
        <f t="shared" si="46"/>
        <v/>
      </c>
      <c r="N462" t="str">
        <f t="shared" si="47"/>
        <v/>
      </c>
    </row>
    <row r="463" spans="1:14">
      <c r="A463" s="59" t="str">
        <f>IF(C463="","",VLOOKUP('Opći dio'!$C$3,'Opći dio'!$L$6:$U$135,10,0))</f>
        <v/>
      </c>
      <c r="B463" s="59" t="str">
        <f>IF(C463="","",VLOOKUP('Opći dio'!$C$3,'Opći dio'!$L$6:$U$135,9,0))</f>
        <v/>
      </c>
      <c r="C463" s="74"/>
      <c r="D463" s="59" t="str">
        <f t="shared" si="43"/>
        <v/>
      </c>
      <c r="E463" s="74"/>
      <c r="F463" s="59" t="str">
        <f t="shared" si="44"/>
        <v/>
      </c>
      <c r="G463" s="75"/>
      <c r="H463" s="59" t="str">
        <f t="shared" si="45"/>
        <v/>
      </c>
      <c r="I463" s="64"/>
      <c r="J463" s="64"/>
      <c r="K463" s="64"/>
      <c r="M463" t="str">
        <f t="shared" si="46"/>
        <v/>
      </c>
      <c r="N463" t="str">
        <f t="shared" si="47"/>
        <v/>
      </c>
    </row>
    <row r="464" spans="1:14">
      <c r="A464" s="59" t="str">
        <f>IF(C464="","",VLOOKUP('Opći dio'!$C$3,'Opći dio'!$L$6:$U$135,10,0))</f>
        <v/>
      </c>
      <c r="B464" s="59" t="str">
        <f>IF(C464="","",VLOOKUP('Opći dio'!$C$3,'Opći dio'!$L$6:$U$135,9,0))</f>
        <v/>
      </c>
      <c r="C464" s="74"/>
      <c r="D464" s="59" t="str">
        <f t="shared" si="43"/>
        <v/>
      </c>
      <c r="E464" s="74"/>
      <c r="F464" s="59" t="str">
        <f t="shared" si="44"/>
        <v/>
      </c>
      <c r="G464" s="75"/>
      <c r="H464" s="59" t="str">
        <f t="shared" si="45"/>
        <v/>
      </c>
      <c r="I464" s="64"/>
      <c r="J464" s="64"/>
      <c r="K464" s="64"/>
      <c r="M464" t="str">
        <f t="shared" si="46"/>
        <v/>
      </c>
      <c r="N464" t="str">
        <f t="shared" si="47"/>
        <v/>
      </c>
    </row>
    <row r="465" spans="1:14">
      <c r="A465" s="59" t="str">
        <f>IF(C465="","",VLOOKUP('Opći dio'!$C$3,'Opći dio'!$L$6:$U$135,10,0))</f>
        <v/>
      </c>
      <c r="B465" s="59" t="str">
        <f>IF(C465="","",VLOOKUP('Opći dio'!$C$3,'Opći dio'!$L$6:$U$135,9,0))</f>
        <v/>
      </c>
      <c r="C465" s="74"/>
      <c r="D465" s="59" t="str">
        <f t="shared" si="43"/>
        <v/>
      </c>
      <c r="E465" s="74"/>
      <c r="F465" s="59" t="str">
        <f t="shared" si="44"/>
        <v/>
      </c>
      <c r="G465" s="75"/>
      <c r="H465" s="59" t="str">
        <f t="shared" si="45"/>
        <v/>
      </c>
      <c r="I465" s="64"/>
      <c r="J465" s="64"/>
      <c r="K465" s="64"/>
      <c r="M465" t="str">
        <f t="shared" si="46"/>
        <v/>
      </c>
      <c r="N465" t="str">
        <f t="shared" si="47"/>
        <v/>
      </c>
    </row>
    <row r="466" spans="1:14">
      <c r="A466" s="59" t="str">
        <f>IF(C466="","",VLOOKUP('Opći dio'!$C$3,'Opći dio'!$L$6:$U$135,10,0))</f>
        <v/>
      </c>
      <c r="B466" s="59" t="str">
        <f>IF(C466="","",VLOOKUP('Opći dio'!$C$3,'Opći dio'!$L$6:$U$135,9,0))</f>
        <v/>
      </c>
      <c r="C466" s="74"/>
      <c r="D466" s="59" t="str">
        <f t="shared" si="43"/>
        <v/>
      </c>
      <c r="E466" s="74"/>
      <c r="F466" s="59" t="str">
        <f t="shared" si="44"/>
        <v/>
      </c>
      <c r="G466" s="75"/>
      <c r="H466" s="59" t="str">
        <f t="shared" si="45"/>
        <v/>
      </c>
      <c r="I466" s="64"/>
      <c r="J466" s="64"/>
      <c r="K466" s="64"/>
      <c r="M466" t="str">
        <f t="shared" si="46"/>
        <v/>
      </c>
      <c r="N466" t="str">
        <f t="shared" si="47"/>
        <v/>
      </c>
    </row>
    <row r="467" spans="1:14">
      <c r="A467" s="59" t="str">
        <f>IF(C467="","",VLOOKUP('Opći dio'!$C$3,'Opći dio'!$L$6:$U$135,10,0))</f>
        <v/>
      </c>
      <c r="B467" s="59" t="str">
        <f>IF(C467="","",VLOOKUP('Opći dio'!$C$3,'Opći dio'!$L$6:$U$135,9,0))</f>
        <v/>
      </c>
      <c r="C467" s="74"/>
      <c r="D467" s="59" t="str">
        <f t="shared" si="43"/>
        <v/>
      </c>
      <c r="E467" s="74"/>
      <c r="F467" s="59" t="str">
        <f t="shared" si="44"/>
        <v/>
      </c>
      <c r="G467" s="75"/>
      <c r="H467" s="59" t="str">
        <f t="shared" si="45"/>
        <v/>
      </c>
      <c r="I467" s="64"/>
      <c r="J467" s="64"/>
      <c r="K467" s="64"/>
      <c r="M467" t="str">
        <f t="shared" si="46"/>
        <v/>
      </c>
      <c r="N467" t="str">
        <f t="shared" si="47"/>
        <v/>
      </c>
    </row>
    <row r="468" spans="1:14">
      <c r="A468" s="59" t="str">
        <f>IF(C468="","",VLOOKUP('Opći dio'!$C$3,'Opći dio'!$L$6:$U$135,10,0))</f>
        <v/>
      </c>
      <c r="B468" s="59" t="str">
        <f>IF(C468="","",VLOOKUP('Opći dio'!$C$3,'Opći dio'!$L$6:$U$135,9,0))</f>
        <v/>
      </c>
      <c r="C468" s="74"/>
      <c r="D468" s="59" t="str">
        <f t="shared" si="43"/>
        <v/>
      </c>
      <c r="E468" s="74"/>
      <c r="F468" s="59" t="str">
        <f t="shared" si="44"/>
        <v/>
      </c>
      <c r="G468" s="75"/>
      <c r="H468" s="59" t="str">
        <f t="shared" si="45"/>
        <v/>
      </c>
      <c r="I468" s="64"/>
      <c r="J468" s="64"/>
      <c r="K468" s="64"/>
      <c r="M468" t="str">
        <f t="shared" si="46"/>
        <v/>
      </c>
      <c r="N468" t="str">
        <f t="shared" si="47"/>
        <v/>
      </c>
    </row>
    <row r="469" spans="1:14">
      <c r="A469" s="59" t="str">
        <f>IF(C469="","",VLOOKUP('Opći dio'!$C$3,'Opći dio'!$L$6:$U$135,10,0))</f>
        <v/>
      </c>
      <c r="B469" s="59" t="str">
        <f>IF(C469="","",VLOOKUP('Opći dio'!$C$3,'Opći dio'!$L$6:$U$135,9,0))</f>
        <v/>
      </c>
      <c r="C469" s="74"/>
      <c r="D469" s="59" t="str">
        <f t="shared" si="43"/>
        <v/>
      </c>
      <c r="E469" s="74"/>
      <c r="F469" s="59" t="str">
        <f t="shared" si="44"/>
        <v/>
      </c>
      <c r="G469" s="75"/>
      <c r="H469" s="59" t="str">
        <f t="shared" si="45"/>
        <v/>
      </c>
      <c r="I469" s="64"/>
      <c r="J469" s="64"/>
      <c r="K469" s="64"/>
      <c r="M469" t="str">
        <f t="shared" si="46"/>
        <v/>
      </c>
      <c r="N469" t="str">
        <f t="shared" si="47"/>
        <v/>
      </c>
    </row>
    <row r="470" spans="1:14">
      <c r="A470" s="59" t="str">
        <f>IF(C470="","",VLOOKUP('Opći dio'!$C$3,'Opći dio'!$L$6:$U$135,10,0))</f>
        <v/>
      </c>
      <c r="B470" s="59" t="str">
        <f>IF(C470="","",VLOOKUP('Opći dio'!$C$3,'Opći dio'!$L$6:$U$135,9,0))</f>
        <v/>
      </c>
      <c r="C470" s="74"/>
      <c r="D470" s="59" t="str">
        <f t="shared" si="43"/>
        <v/>
      </c>
      <c r="E470" s="74"/>
      <c r="F470" s="59" t="str">
        <f t="shared" si="44"/>
        <v/>
      </c>
      <c r="G470" s="75"/>
      <c r="H470" s="59" t="str">
        <f t="shared" si="45"/>
        <v/>
      </c>
      <c r="I470" s="64"/>
      <c r="J470" s="64"/>
      <c r="K470" s="64"/>
      <c r="M470" t="str">
        <f t="shared" si="46"/>
        <v/>
      </c>
      <c r="N470" t="str">
        <f t="shared" si="47"/>
        <v/>
      </c>
    </row>
    <row r="471" spans="1:14">
      <c r="A471" s="59" t="str">
        <f>IF(C471="","",VLOOKUP('Opći dio'!$C$3,'Opći dio'!$L$6:$U$135,10,0))</f>
        <v/>
      </c>
      <c r="B471" s="59" t="str">
        <f>IF(C471="","",VLOOKUP('Opći dio'!$C$3,'Opći dio'!$L$6:$U$135,9,0))</f>
        <v/>
      </c>
      <c r="C471" s="74"/>
      <c r="D471" s="59" t="str">
        <f t="shared" si="43"/>
        <v/>
      </c>
      <c r="E471" s="74"/>
      <c r="F471" s="59" t="str">
        <f t="shared" si="44"/>
        <v/>
      </c>
      <c r="G471" s="75"/>
      <c r="H471" s="59" t="str">
        <f t="shared" si="45"/>
        <v/>
      </c>
      <c r="I471" s="64"/>
      <c r="J471" s="64"/>
      <c r="K471" s="64"/>
      <c r="M471" t="str">
        <f t="shared" si="46"/>
        <v/>
      </c>
      <c r="N471" t="str">
        <f t="shared" si="47"/>
        <v/>
      </c>
    </row>
    <row r="472" spans="1:14">
      <c r="A472" s="59" t="str">
        <f>IF(C472="","",VLOOKUP('Opći dio'!$C$3,'Opći dio'!$L$6:$U$135,10,0))</f>
        <v/>
      </c>
      <c r="B472" s="59" t="str">
        <f>IF(C472="","",VLOOKUP('Opći dio'!$C$3,'Opći dio'!$L$6:$U$135,9,0))</f>
        <v/>
      </c>
      <c r="C472" s="74"/>
      <c r="D472" s="59" t="str">
        <f t="shared" si="43"/>
        <v/>
      </c>
      <c r="E472" s="74"/>
      <c r="F472" s="59" t="str">
        <f t="shared" si="44"/>
        <v/>
      </c>
      <c r="G472" s="75"/>
      <c r="H472" s="59" t="str">
        <f t="shared" si="45"/>
        <v/>
      </c>
      <c r="I472" s="64"/>
      <c r="J472" s="64"/>
      <c r="K472" s="64"/>
      <c r="M472" t="str">
        <f t="shared" si="46"/>
        <v/>
      </c>
      <c r="N472" t="str">
        <f t="shared" si="47"/>
        <v/>
      </c>
    </row>
    <row r="473" spans="1:14">
      <c r="A473" s="59" t="str">
        <f>IF(C473="","",VLOOKUP('Opći dio'!$C$3,'Opći dio'!$L$6:$U$135,10,0))</f>
        <v/>
      </c>
      <c r="B473" s="59" t="str">
        <f>IF(C473="","",VLOOKUP('Opći dio'!$C$3,'Opći dio'!$L$6:$U$135,9,0))</f>
        <v/>
      </c>
      <c r="C473" s="74"/>
      <c r="D473" s="59" t="str">
        <f t="shared" si="43"/>
        <v/>
      </c>
      <c r="E473" s="74"/>
      <c r="F473" s="59" t="str">
        <f t="shared" si="44"/>
        <v/>
      </c>
      <c r="G473" s="75"/>
      <c r="H473" s="59" t="str">
        <f t="shared" si="45"/>
        <v/>
      </c>
      <c r="I473" s="64"/>
      <c r="J473" s="64"/>
      <c r="K473" s="64"/>
      <c r="M473" t="str">
        <f t="shared" si="46"/>
        <v/>
      </c>
      <c r="N473" t="str">
        <f t="shared" si="47"/>
        <v/>
      </c>
    </row>
    <row r="474" spans="1:14">
      <c r="A474" s="59" t="str">
        <f>IF(C474="","",VLOOKUP('Opći dio'!$C$3,'Opći dio'!$L$6:$U$135,10,0))</f>
        <v/>
      </c>
      <c r="B474" s="59" t="str">
        <f>IF(C474="","",VLOOKUP('Opći dio'!$C$3,'Opći dio'!$L$6:$U$135,9,0))</f>
        <v/>
      </c>
      <c r="C474" s="74"/>
      <c r="D474" s="59" t="str">
        <f t="shared" si="43"/>
        <v/>
      </c>
      <c r="E474" s="74"/>
      <c r="F474" s="59" t="str">
        <f t="shared" si="44"/>
        <v/>
      </c>
      <c r="G474" s="75"/>
      <c r="H474" s="59" t="str">
        <f t="shared" si="45"/>
        <v/>
      </c>
      <c r="I474" s="64"/>
      <c r="J474" s="64"/>
      <c r="K474" s="64"/>
      <c r="M474" t="str">
        <f t="shared" si="46"/>
        <v/>
      </c>
      <c r="N474" t="str">
        <f t="shared" si="47"/>
        <v/>
      </c>
    </row>
    <row r="475" spans="1:14">
      <c r="A475" s="59" t="str">
        <f>IF(C475="","",VLOOKUP('Opći dio'!$C$3,'Opći dio'!$L$6:$U$135,10,0))</f>
        <v/>
      </c>
      <c r="B475" s="59" t="str">
        <f>IF(C475="","",VLOOKUP('Opći dio'!$C$3,'Opći dio'!$L$6:$U$135,9,0))</f>
        <v/>
      </c>
      <c r="C475" s="74"/>
      <c r="D475" s="59" t="str">
        <f t="shared" si="43"/>
        <v/>
      </c>
      <c r="E475" s="74"/>
      <c r="F475" s="59" t="str">
        <f t="shared" si="44"/>
        <v/>
      </c>
      <c r="G475" s="75"/>
      <c r="H475" s="59" t="str">
        <f t="shared" si="45"/>
        <v/>
      </c>
      <c r="I475" s="64"/>
      <c r="J475" s="64"/>
      <c r="K475" s="64"/>
      <c r="M475" t="str">
        <f t="shared" si="46"/>
        <v/>
      </c>
      <c r="N475" t="str">
        <f t="shared" si="47"/>
        <v/>
      </c>
    </row>
    <row r="476" spans="1:14">
      <c r="A476" s="59" t="str">
        <f>IF(C476="","",VLOOKUP('Opći dio'!$C$3,'Opći dio'!$L$6:$U$135,10,0))</f>
        <v/>
      </c>
      <c r="B476" s="59" t="str">
        <f>IF(C476="","",VLOOKUP('Opći dio'!$C$3,'Opći dio'!$L$6:$U$135,9,0))</f>
        <v/>
      </c>
      <c r="C476" s="74"/>
      <c r="D476" s="59" t="str">
        <f t="shared" si="43"/>
        <v/>
      </c>
      <c r="E476" s="74"/>
      <c r="F476" s="59" t="str">
        <f t="shared" si="44"/>
        <v/>
      </c>
      <c r="G476" s="75"/>
      <c r="H476" s="59" t="str">
        <f t="shared" si="45"/>
        <v/>
      </c>
      <c r="I476" s="64"/>
      <c r="J476" s="64"/>
      <c r="K476" s="64"/>
      <c r="M476" t="str">
        <f t="shared" si="46"/>
        <v/>
      </c>
      <c r="N476" t="str">
        <f t="shared" si="47"/>
        <v/>
      </c>
    </row>
    <row r="477" spans="1:14">
      <c r="A477" s="59" t="str">
        <f>IF(C477="","",VLOOKUP('Opći dio'!$C$3,'Opći dio'!$L$6:$U$135,10,0))</f>
        <v/>
      </c>
      <c r="B477" s="59" t="str">
        <f>IF(C477="","",VLOOKUP('Opći dio'!$C$3,'Opći dio'!$L$6:$U$135,9,0))</f>
        <v/>
      </c>
      <c r="C477" s="74"/>
      <c r="D477" s="59" t="str">
        <f t="shared" si="43"/>
        <v/>
      </c>
      <c r="E477" s="74"/>
      <c r="F477" s="59" t="str">
        <f t="shared" si="44"/>
        <v/>
      </c>
      <c r="G477" s="75"/>
      <c r="H477" s="59" t="str">
        <f t="shared" si="45"/>
        <v/>
      </c>
      <c r="I477" s="64"/>
      <c r="J477" s="64"/>
      <c r="K477" s="64"/>
      <c r="M477" t="str">
        <f t="shared" si="46"/>
        <v/>
      </c>
      <c r="N477" t="str">
        <f t="shared" si="47"/>
        <v/>
      </c>
    </row>
    <row r="478" spans="1:14">
      <c r="A478" s="59" t="str">
        <f>IF(C478="","",VLOOKUP('Opći dio'!$C$3,'Opći dio'!$L$6:$U$135,10,0))</f>
        <v/>
      </c>
      <c r="B478" s="59" t="str">
        <f>IF(C478="","",VLOOKUP('Opći dio'!$C$3,'Opći dio'!$L$6:$U$135,9,0))</f>
        <v/>
      </c>
      <c r="C478" s="74"/>
      <c r="D478" s="59" t="str">
        <f t="shared" si="43"/>
        <v/>
      </c>
      <c r="E478" s="74"/>
      <c r="F478" s="59" t="str">
        <f t="shared" si="44"/>
        <v/>
      </c>
      <c r="G478" s="75"/>
      <c r="H478" s="59" t="str">
        <f t="shared" si="45"/>
        <v/>
      </c>
      <c r="I478" s="64"/>
      <c r="J478" s="64"/>
      <c r="K478" s="64"/>
      <c r="M478" t="str">
        <f t="shared" si="46"/>
        <v/>
      </c>
      <c r="N478" t="str">
        <f t="shared" si="47"/>
        <v/>
      </c>
    </row>
    <row r="479" spans="1:14">
      <c r="A479" s="59" t="str">
        <f>IF(C479="","",VLOOKUP('Opći dio'!$C$3,'Opći dio'!$L$6:$U$135,10,0))</f>
        <v/>
      </c>
      <c r="B479" s="59" t="str">
        <f>IF(C479="","",VLOOKUP('Opći dio'!$C$3,'Opći dio'!$L$6:$U$135,9,0))</f>
        <v/>
      </c>
      <c r="C479" s="74"/>
      <c r="D479" s="59" t="str">
        <f t="shared" si="43"/>
        <v/>
      </c>
      <c r="E479" s="74"/>
      <c r="F479" s="59" t="str">
        <f t="shared" si="44"/>
        <v/>
      </c>
      <c r="G479" s="75"/>
      <c r="H479" s="59" t="str">
        <f t="shared" si="45"/>
        <v/>
      </c>
      <c r="I479" s="64"/>
      <c r="J479" s="64"/>
      <c r="K479" s="64"/>
      <c r="M479" t="str">
        <f t="shared" si="46"/>
        <v/>
      </c>
      <c r="N479" t="str">
        <f t="shared" si="47"/>
        <v/>
      </c>
    </row>
    <row r="480" spans="1:14">
      <c r="A480" s="59" t="str">
        <f>IF(C480="","",VLOOKUP('Opći dio'!$C$3,'Opći dio'!$L$6:$U$135,10,0))</f>
        <v/>
      </c>
      <c r="B480" s="59" t="str">
        <f>IF(C480="","",VLOOKUP('Opći dio'!$C$3,'Opći dio'!$L$6:$U$135,9,0))</f>
        <v/>
      </c>
      <c r="C480" s="74"/>
      <c r="D480" s="59" t="str">
        <f t="shared" si="43"/>
        <v/>
      </c>
      <c r="E480" s="74"/>
      <c r="F480" s="59" t="str">
        <f t="shared" si="44"/>
        <v/>
      </c>
      <c r="G480" s="75"/>
      <c r="H480" s="59" t="str">
        <f t="shared" si="45"/>
        <v/>
      </c>
      <c r="I480" s="64"/>
      <c r="J480" s="64"/>
      <c r="K480" s="64"/>
      <c r="M480" t="str">
        <f t="shared" si="46"/>
        <v/>
      </c>
      <c r="N480" t="str">
        <f t="shared" si="47"/>
        <v/>
      </c>
    </row>
    <row r="481" spans="1:14">
      <c r="A481" s="59" t="str">
        <f>IF(C481="","",VLOOKUP('Opći dio'!$C$3,'Opći dio'!$L$6:$U$135,10,0))</f>
        <v/>
      </c>
      <c r="B481" s="59" t="str">
        <f>IF(C481="","",VLOOKUP('Opći dio'!$C$3,'Opći dio'!$L$6:$U$135,9,0))</f>
        <v/>
      </c>
      <c r="C481" s="74"/>
      <c r="D481" s="59" t="str">
        <f t="shared" si="43"/>
        <v/>
      </c>
      <c r="E481" s="74"/>
      <c r="F481" s="59" t="str">
        <f t="shared" si="44"/>
        <v/>
      </c>
      <c r="G481" s="75"/>
      <c r="H481" s="59" t="str">
        <f t="shared" si="45"/>
        <v/>
      </c>
      <c r="I481" s="64"/>
      <c r="J481" s="64"/>
      <c r="K481" s="64"/>
      <c r="M481" t="str">
        <f t="shared" si="46"/>
        <v/>
      </c>
      <c r="N481" t="str">
        <f t="shared" si="47"/>
        <v/>
      </c>
    </row>
    <row r="482" spans="1:14">
      <c r="A482" s="59" t="str">
        <f>IF(C482="","",VLOOKUP('Opći dio'!$C$3,'Opći dio'!$L$6:$U$135,10,0))</f>
        <v/>
      </c>
      <c r="B482" s="59" t="str">
        <f>IF(C482="","",VLOOKUP('Opći dio'!$C$3,'Opći dio'!$L$6:$U$135,9,0))</f>
        <v/>
      </c>
      <c r="C482" s="74"/>
      <c r="D482" s="59" t="str">
        <f t="shared" si="43"/>
        <v/>
      </c>
      <c r="E482" s="74"/>
      <c r="F482" s="59" t="str">
        <f t="shared" si="44"/>
        <v/>
      </c>
      <c r="G482" s="75"/>
      <c r="H482" s="59" t="str">
        <f t="shared" si="45"/>
        <v/>
      </c>
      <c r="I482" s="64"/>
      <c r="J482" s="64"/>
      <c r="K482" s="64"/>
      <c r="M482" t="str">
        <f t="shared" si="46"/>
        <v/>
      </c>
      <c r="N482" t="str">
        <f t="shared" si="47"/>
        <v/>
      </c>
    </row>
    <row r="483" spans="1:14">
      <c r="A483" s="59" t="str">
        <f>IF(C483="","",VLOOKUP('Opći dio'!$C$3,'Opći dio'!$L$6:$U$135,10,0))</f>
        <v/>
      </c>
      <c r="B483" s="59" t="str">
        <f>IF(C483="","",VLOOKUP('Opći dio'!$C$3,'Opći dio'!$L$6:$U$135,9,0))</f>
        <v/>
      </c>
      <c r="C483" s="74"/>
      <c r="D483" s="59" t="str">
        <f t="shared" si="43"/>
        <v/>
      </c>
      <c r="E483" s="74"/>
      <c r="F483" s="59" t="str">
        <f t="shared" si="44"/>
        <v/>
      </c>
      <c r="G483" s="75"/>
      <c r="H483" s="59" t="str">
        <f t="shared" si="45"/>
        <v/>
      </c>
      <c r="I483" s="64"/>
      <c r="J483" s="64"/>
      <c r="K483" s="64"/>
      <c r="M483" t="str">
        <f t="shared" si="46"/>
        <v/>
      </c>
      <c r="N483" t="str">
        <f t="shared" si="47"/>
        <v/>
      </c>
    </row>
    <row r="484" spans="1:14">
      <c r="A484" s="59" t="str">
        <f>IF(C484="","",VLOOKUP('Opći dio'!$C$3,'Opći dio'!$L$6:$U$135,10,0))</f>
        <v/>
      </c>
      <c r="B484" s="59" t="str">
        <f>IF(C484="","",VLOOKUP('Opći dio'!$C$3,'Opći dio'!$L$6:$U$135,9,0))</f>
        <v/>
      </c>
      <c r="C484" s="74"/>
      <c r="D484" s="59" t="str">
        <f t="shared" si="43"/>
        <v/>
      </c>
      <c r="E484" s="74"/>
      <c r="F484" s="59" t="str">
        <f t="shared" si="44"/>
        <v/>
      </c>
      <c r="G484" s="75"/>
      <c r="H484" s="59" t="str">
        <f t="shared" si="45"/>
        <v/>
      </c>
      <c r="I484" s="64"/>
      <c r="J484" s="64"/>
      <c r="K484" s="64"/>
      <c r="M484" t="str">
        <f t="shared" si="46"/>
        <v/>
      </c>
      <c r="N484" t="str">
        <f t="shared" si="47"/>
        <v/>
      </c>
    </row>
    <row r="485" spans="1:14">
      <c r="A485" s="59" t="str">
        <f>IF(C485="","",VLOOKUP('Opći dio'!$C$3,'Opći dio'!$L$6:$U$135,10,0))</f>
        <v/>
      </c>
      <c r="B485" s="59" t="str">
        <f>IF(C485="","",VLOOKUP('Opći dio'!$C$3,'Opći dio'!$L$6:$U$135,9,0))</f>
        <v/>
      </c>
      <c r="C485" s="74"/>
      <c r="D485" s="59" t="str">
        <f t="shared" si="43"/>
        <v/>
      </c>
      <c r="E485" s="74"/>
      <c r="F485" s="59" t="str">
        <f t="shared" si="44"/>
        <v/>
      </c>
      <c r="G485" s="75"/>
      <c r="H485" s="59" t="str">
        <f t="shared" si="45"/>
        <v/>
      </c>
      <c r="I485" s="64"/>
      <c r="J485" s="64"/>
      <c r="K485" s="64"/>
      <c r="M485" t="str">
        <f t="shared" si="46"/>
        <v/>
      </c>
      <c r="N485" t="str">
        <f t="shared" si="47"/>
        <v/>
      </c>
    </row>
    <row r="486" spans="1:14">
      <c r="A486" s="59" t="str">
        <f>IF(C486="","",VLOOKUP('Opći dio'!$C$3,'Opći dio'!$L$6:$U$135,10,0))</f>
        <v/>
      </c>
      <c r="B486" s="59" t="str">
        <f>IF(C486="","",VLOOKUP('Opći dio'!$C$3,'Opći dio'!$L$6:$U$135,9,0))</f>
        <v/>
      </c>
      <c r="C486" s="74"/>
      <c r="D486" s="59" t="str">
        <f t="shared" si="43"/>
        <v/>
      </c>
      <c r="E486" s="74"/>
      <c r="F486" s="59" t="str">
        <f t="shared" si="44"/>
        <v/>
      </c>
      <c r="G486" s="75"/>
      <c r="H486" s="59" t="str">
        <f t="shared" si="45"/>
        <v/>
      </c>
      <c r="I486" s="64"/>
      <c r="J486" s="64"/>
      <c r="K486" s="64"/>
      <c r="M486" t="str">
        <f t="shared" si="46"/>
        <v/>
      </c>
      <c r="N486" t="str">
        <f t="shared" si="47"/>
        <v/>
      </c>
    </row>
    <row r="487" spans="1:14">
      <c r="A487" s="59" t="str">
        <f>IF(C487="","",VLOOKUP('Opći dio'!$C$3,'Opći dio'!$L$6:$U$135,10,0))</f>
        <v/>
      </c>
      <c r="B487" s="59" t="str">
        <f>IF(C487="","",VLOOKUP('Opći dio'!$C$3,'Opći dio'!$L$6:$U$135,9,0))</f>
        <v/>
      </c>
      <c r="C487" s="74"/>
      <c r="D487" s="59" t="str">
        <f t="shared" si="43"/>
        <v/>
      </c>
      <c r="E487" s="74"/>
      <c r="F487" s="59" t="str">
        <f t="shared" si="44"/>
        <v/>
      </c>
      <c r="G487" s="75"/>
      <c r="H487" s="59" t="str">
        <f t="shared" si="45"/>
        <v/>
      </c>
      <c r="I487" s="64"/>
      <c r="J487" s="64"/>
      <c r="K487" s="64"/>
      <c r="M487" t="str">
        <f t="shared" si="46"/>
        <v/>
      </c>
      <c r="N487" t="str">
        <f t="shared" si="47"/>
        <v/>
      </c>
    </row>
    <row r="488" spans="1:14">
      <c r="A488" s="59" t="str">
        <f>IF(C488="","",VLOOKUP('Opći dio'!$C$3,'Opći dio'!$L$6:$U$135,10,0))</f>
        <v/>
      </c>
      <c r="B488" s="59" t="str">
        <f>IF(C488="","",VLOOKUP('Opći dio'!$C$3,'Opći dio'!$L$6:$U$135,9,0))</f>
        <v/>
      </c>
      <c r="C488" s="74"/>
      <c r="D488" s="59" t="str">
        <f t="shared" si="43"/>
        <v/>
      </c>
      <c r="E488" s="74"/>
      <c r="F488" s="59" t="str">
        <f t="shared" si="44"/>
        <v/>
      </c>
      <c r="G488" s="75"/>
      <c r="H488" s="59" t="str">
        <f t="shared" si="45"/>
        <v/>
      </c>
      <c r="I488" s="64"/>
      <c r="J488" s="64"/>
      <c r="K488" s="64"/>
      <c r="M488" t="str">
        <f t="shared" si="46"/>
        <v/>
      </c>
      <c r="N488" t="str">
        <f t="shared" si="47"/>
        <v/>
      </c>
    </row>
    <row r="489" spans="1:14">
      <c r="A489" s="59" t="str">
        <f>IF(C489="","",VLOOKUP('Opći dio'!$C$3,'Opći dio'!$L$6:$U$135,10,0))</f>
        <v/>
      </c>
      <c r="B489" s="59" t="str">
        <f>IF(C489="","",VLOOKUP('Opći dio'!$C$3,'Opći dio'!$L$6:$U$135,9,0))</f>
        <v/>
      </c>
      <c r="C489" s="74"/>
      <c r="D489" s="59" t="str">
        <f t="shared" si="43"/>
        <v/>
      </c>
      <c r="E489" s="74"/>
      <c r="F489" s="59" t="str">
        <f t="shared" si="44"/>
        <v/>
      </c>
      <c r="G489" s="75"/>
      <c r="H489" s="59" t="str">
        <f t="shared" si="45"/>
        <v/>
      </c>
      <c r="I489" s="64"/>
      <c r="J489" s="64"/>
      <c r="K489" s="64"/>
      <c r="M489" t="str">
        <f t="shared" si="46"/>
        <v/>
      </c>
      <c r="N489" t="str">
        <f t="shared" si="47"/>
        <v/>
      </c>
    </row>
    <row r="490" spans="1:14">
      <c r="A490" s="59" t="str">
        <f>IF(C490="","",VLOOKUP('Opći dio'!$C$3,'Opći dio'!$L$6:$U$135,10,0))</f>
        <v/>
      </c>
      <c r="B490" s="59" t="str">
        <f>IF(C490="","",VLOOKUP('Opći dio'!$C$3,'Opći dio'!$L$6:$U$135,9,0))</f>
        <v/>
      </c>
      <c r="C490" s="74"/>
      <c r="D490" s="59" t="str">
        <f t="shared" si="43"/>
        <v/>
      </c>
      <c r="E490" s="74"/>
      <c r="F490" s="59" t="str">
        <f t="shared" si="44"/>
        <v/>
      </c>
      <c r="G490" s="75"/>
      <c r="H490" s="59" t="str">
        <f t="shared" si="45"/>
        <v/>
      </c>
      <c r="I490" s="64"/>
      <c r="J490" s="64"/>
      <c r="K490" s="64"/>
      <c r="M490" t="str">
        <f t="shared" si="46"/>
        <v/>
      </c>
      <c r="N490" t="str">
        <f t="shared" si="47"/>
        <v/>
      </c>
    </row>
    <row r="491" spans="1:14">
      <c r="A491" s="59" t="str">
        <f>IF(C491="","",VLOOKUP('Opći dio'!$C$3,'Opći dio'!$L$6:$U$135,10,0))</f>
        <v/>
      </c>
      <c r="B491" s="59" t="str">
        <f>IF(C491="","",VLOOKUP('Opći dio'!$C$3,'Opći dio'!$L$6:$U$135,9,0))</f>
        <v/>
      </c>
      <c r="C491" s="74"/>
      <c r="D491" s="59" t="str">
        <f t="shared" si="43"/>
        <v/>
      </c>
      <c r="E491" s="74"/>
      <c r="F491" s="59" t="str">
        <f t="shared" si="44"/>
        <v/>
      </c>
      <c r="G491" s="75"/>
      <c r="H491" s="59" t="str">
        <f t="shared" si="45"/>
        <v/>
      </c>
      <c r="I491" s="64"/>
      <c r="J491" s="64"/>
      <c r="K491" s="64"/>
      <c r="M491" t="str">
        <f t="shared" si="46"/>
        <v/>
      </c>
      <c r="N491" t="str">
        <f t="shared" si="47"/>
        <v/>
      </c>
    </row>
    <row r="492" spans="1:14">
      <c r="A492" s="59" t="str">
        <f>IF(C492="","",VLOOKUP('Opći dio'!$C$3,'Opći dio'!$L$6:$U$135,10,0))</f>
        <v/>
      </c>
      <c r="B492" s="59" t="str">
        <f>IF(C492="","",VLOOKUP('Opći dio'!$C$3,'Opći dio'!$L$6:$U$135,9,0))</f>
        <v/>
      </c>
      <c r="C492" s="74"/>
      <c r="D492" s="59" t="str">
        <f t="shared" si="43"/>
        <v/>
      </c>
      <c r="E492" s="74"/>
      <c r="F492" s="59" t="str">
        <f t="shared" si="44"/>
        <v/>
      </c>
      <c r="G492" s="75"/>
      <c r="H492" s="59" t="str">
        <f t="shared" si="45"/>
        <v/>
      </c>
      <c r="I492" s="64"/>
      <c r="J492" s="64"/>
      <c r="K492" s="64"/>
      <c r="M492" t="str">
        <f t="shared" si="46"/>
        <v/>
      </c>
      <c r="N492" t="str">
        <f t="shared" si="47"/>
        <v/>
      </c>
    </row>
    <row r="493" spans="1:14">
      <c r="A493" s="59" t="str">
        <f>IF(C493="","",VLOOKUP('Opći dio'!$C$3,'Opći dio'!$L$6:$U$135,10,0))</f>
        <v/>
      </c>
      <c r="B493" s="59" t="str">
        <f>IF(C493="","",VLOOKUP('Opći dio'!$C$3,'Opći dio'!$L$6:$U$135,9,0))</f>
        <v/>
      </c>
      <c r="C493" s="74"/>
      <c r="D493" s="59" t="str">
        <f t="shared" si="43"/>
        <v/>
      </c>
      <c r="E493" s="74"/>
      <c r="F493" s="59" t="str">
        <f t="shared" si="44"/>
        <v/>
      </c>
      <c r="G493" s="75"/>
      <c r="H493" s="59" t="str">
        <f t="shared" si="45"/>
        <v/>
      </c>
      <c r="I493" s="64"/>
      <c r="J493" s="64"/>
      <c r="K493" s="64"/>
      <c r="M493" t="str">
        <f t="shared" si="46"/>
        <v/>
      </c>
      <c r="N493" t="str">
        <f t="shared" si="47"/>
        <v/>
      </c>
    </row>
    <row r="494" spans="1:14">
      <c r="A494" s="59" t="str">
        <f>IF(C494="","",VLOOKUP('Opći dio'!$C$3,'Opći dio'!$L$6:$U$135,10,0))</f>
        <v/>
      </c>
      <c r="B494" s="59" t="str">
        <f>IF(C494="","",VLOOKUP('Opći dio'!$C$3,'Opći dio'!$L$6:$U$135,9,0))</f>
        <v/>
      </c>
      <c r="C494" s="74"/>
      <c r="D494" s="59" t="str">
        <f t="shared" si="43"/>
        <v/>
      </c>
      <c r="E494" s="74"/>
      <c r="F494" s="59" t="str">
        <f t="shared" si="44"/>
        <v/>
      </c>
      <c r="G494" s="75"/>
      <c r="H494" s="59" t="str">
        <f t="shared" si="45"/>
        <v/>
      </c>
      <c r="I494" s="64"/>
      <c r="J494" s="64"/>
      <c r="K494" s="64"/>
      <c r="M494" t="str">
        <f t="shared" si="46"/>
        <v/>
      </c>
      <c r="N494" t="str">
        <f t="shared" si="47"/>
        <v/>
      </c>
    </row>
    <row r="495" spans="1:14">
      <c r="A495" s="59" t="str">
        <f>IF(C495="","",VLOOKUP('Opći dio'!$C$3,'Opći dio'!$L$6:$U$135,10,0))</f>
        <v/>
      </c>
      <c r="B495" s="59" t="str">
        <f>IF(C495="","",VLOOKUP('Opći dio'!$C$3,'Opći dio'!$L$6:$U$135,9,0))</f>
        <v/>
      </c>
      <c r="C495" s="74"/>
      <c r="D495" s="59" t="str">
        <f t="shared" si="43"/>
        <v/>
      </c>
      <c r="E495" s="74"/>
      <c r="F495" s="59" t="str">
        <f t="shared" si="44"/>
        <v/>
      </c>
      <c r="G495" s="75"/>
      <c r="H495" s="59" t="str">
        <f t="shared" si="45"/>
        <v/>
      </c>
      <c r="I495" s="64"/>
      <c r="J495" s="64"/>
      <c r="K495" s="64"/>
      <c r="M495" t="str">
        <f t="shared" si="46"/>
        <v/>
      </c>
      <c r="N495" t="str">
        <f t="shared" si="47"/>
        <v/>
      </c>
    </row>
    <row r="496" spans="1:14">
      <c r="A496" s="59" t="str">
        <f>IF(C496="","",VLOOKUP('Opći dio'!$C$3,'Opći dio'!$L$6:$U$135,10,0))</f>
        <v/>
      </c>
      <c r="B496" s="59" t="str">
        <f>IF(C496="","",VLOOKUP('Opći dio'!$C$3,'Opći dio'!$L$6:$U$135,9,0))</f>
        <v/>
      </c>
      <c r="C496" s="74"/>
      <c r="D496" s="59" t="str">
        <f t="shared" si="43"/>
        <v/>
      </c>
      <c r="E496" s="74"/>
      <c r="F496" s="59" t="str">
        <f t="shared" si="44"/>
        <v/>
      </c>
      <c r="G496" s="75"/>
      <c r="H496" s="59" t="str">
        <f t="shared" si="45"/>
        <v/>
      </c>
      <c r="I496" s="64"/>
      <c r="J496" s="64"/>
      <c r="K496" s="64"/>
      <c r="M496" t="str">
        <f t="shared" si="46"/>
        <v/>
      </c>
      <c r="N496" t="str">
        <f t="shared" si="47"/>
        <v/>
      </c>
    </row>
    <row r="497" spans="1:14">
      <c r="A497" s="59" t="str">
        <f>IF(C497="","",VLOOKUP('Opći dio'!$C$3,'Opći dio'!$L$6:$U$135,10,0))</f>
        <v/>
      </c>
      <c r="B497" s="59" t="str">
        <f>IF(C497="","",VLOOKUP('Opći dio'!$C$3,'Opći dio'!$L$6:$U$135,9,0))</f>
        <v/>
      </c>
      <c r="C497" s="74"/>
      <c r="D497" s="59" t="str">
        <f t="shared" si="43"/>
        <v/>
      </c>
      <c r="E497" s="74"/>
      <c r="F497" s="59" t="str">
        <f t="shared" si="44"/>
        <v/>
      </c>
      <c r="G497" s="75"/>
      <c r="H497" s="59" t="str">
        <f t="shared" si="45"/>
        <v/>
      </c>
      <c r="I497" s="64"/>
      <c r="J497" s="64"/>
      <c r="K497" s="64"/>
      <c r="M497" t="str">
        <f t="shared" si="46"/>
        <v/>
      </c>
      <c r="N497" t="str">
        <f t="shared" si="47"/>
        <v/>
      </c>
    </row>
    <row r="498" spans="1:14">
      <c r="A498" s="59" t="str">
        <f>IF(C498="","",VLOOKUP('Opći dio'!$C$3,'Opći dio'!$L$6:$U$135,10,0))</f>
        <v/>
      </c>
      <c r="B498" s="59" t="str">
        <f>IF(C498="","",VLOOKUP('Opći dio'!$C$3,'Opći dio'!$L$6:$U$135,9,0))</f>
        <v/>
      </c>
      <c r="C498" s="74"/>
      <c r="D498" s="59" t="str">
        <f t="shared" si="43"/>
        <v/>
      </c>
      <c r="E498" s="74"/>
      <c r="F498" s="59" t="str">
        <f t="shared" si="44"/>
        <v/>
      </c>
      <c r="G498" s="75"/>
      <c r="H498" s="59" t="str">
        <f t="shared" si="45"/>
        <v/>
      </c>
      <c r="I498" s="64"/>
      <c r="J498" s="64"/>
      <c r="K498" s="64"/>
      <c r="M498" t="str">
        <f t="shared" si="46"/>
        <v/>
      </c>
      <c r="N498" t="str">
        <f t="shared" si="47"/>
        <v/>
      </c>
    </row>
    <row r="499" spans="1:14">
      <c r="A499" s="59" t="str">
        <f>IF(C499="","",VLOOKUP('Opći dio'!$C$3,'Opći dio'!$L$6:$U$135,10,0))</f>
        <v/>
      </c>
      <c r="B499" s="59" t="str">
        <f>IF(C499="","",VLOOKUP('Opći dio'!$C$3,'Opći dio'!$L$6:$U$135,9,0))</f>
        <v/>
      </c>
      <c r="C499" s="74"/>
      <c r="D499" s="59" t="str">
        <f t="shared" si="43"/>
        <v/>
      </c>
      <c r="E499" s="74"/>
      <c r="F499" s="59" t="str">
        <f t="shared" si="44"/>
        <v/>
      </c>
      <c r="G499" s="75"/>
      <c r="H499" s="59" t="str">
        <f t="shared" si="45"/>
        <v/>
      </c>
      <c r="I499" s="64"/>
      <c r="J499" s="64"/>
      <c r="K499" s="64"/>
      <c r="M499" t="str">
        <f t="shared" si="46"/>
        <v/>
      </c>
      <c r="N499" t="str">
        <f t="shared" si="47"/>
        <v/>
      </c>
    </row>
    <row r="500" spans="1:14">
      <c r="A500" s="59" t="str">
        <f>IF(C500="","",VLOOKUP('Opći dio'!$C$3,'Opći dio'!$L$6:$U$135,10,0))</f>
        <v/>
      </c>
      <c r="B500" s="59" t="str">
        <f>IF(C500="","",VLOOKUP('Opći dio'!$C$3,'Opći dio'!$L$6:$U$135,9,0))</f>
        <v/>
      </c>
      <c r="C500" s="74"/>
      <c r="D500" s="59" t="str">
        <f t="shared" si="43"/>
        <v/>
      </c>
      <c r="E500" s="74"/>
      <c r="F500" s="59" t="str">
        <f t="shared" si="44"/>
        <v/>
      </c>
      <c r="G500" s="75"/>
      <c r="H500" s="59" t="str">
        <f t="shared" si="45"/>
        <v/>
      </c>
      <c r="I500" s="64"/>
      <c r="J500" s="64"/>
      <c r="K500" s="64"/>
      <c r="M500" t="str">
        <f t="shared" si="46"/>
        <v/>
      </c>
      <c r="N500" t="str">
        <f t="shared" si="47"/>
        <v/>
      </c>
    </row>
    <row r="501" spans="1:14">
      <c r="A501" s="59" t="str">
        <f>IF(C501="","",VLOOKUP('Opći dio'!$C$3,'Opći dio'!$L$6:$U$135,10,0))</f>
        <v/>
      </c>
      <c r="B501" s="59" t="str">
        <f>IF(C501="","",VLOOKUP('Opći dio'!$C$3,'Opći dio'!$L$6:$U$135,9,0))</f>
        <v/>
      </c>
      <c r="C501" s="74"/>
      <c r="D501" s="59" t="str">
        <f t="shared" si="43"/>
        <v/>
      </c>
      <c r="E501" s="74"/>
      <c r="F501" s="59" t="str">
        <f t="shared" si="44"/>
        <v/>
      </c>
      <c r="G501" s="75"/>
      <c r="H501" s="59" t="str">
        <f t="shared" si="45"/>
        <v/>
      </c>
      <c r="I501" s="64"/>
      <c r="J501" s="64"/>
      <c r="K501" s="64"/>
      <c r="M501" t="str">
        <f t="shared" si="46"/>
        <v/>
      </c>
      <c r="N501" t="str">
        <f t="shared" si="47"/>
        <v/>
      </c>
    </row>
    <row r="502" spans="1:14"/>
  </sheetData>
  <sheetProtection password="DE31" sheet="1" objects="1" scenarios="1" selectLockedCells="1"/>
  <mergeCells count="1">
    <mergeCell ref="A1:D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0000000}">
      <formula1>$O$6:$O$16</formula1>
      <formula2>0</formula2>
    </dataValidation>
    <dataValidation type="whole" allowBlank="1" showInputMessage="1" showErrorMessage="1" errorTitle="GREŠKA" error="U ovo polje je dozvoljen unos samo brojčanih vrijednosti (bez decimala!)" sqref="I3:K501" xr:uid="{00000000-0002-0000-02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2000000}">
      <formula1>$R$5:$R$129</formula1>
      <formula2>0</formula2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$X$6:$X$50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70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121"/>
  <sheetViews>
    <sheetView showGridLines="0" zoomScale="80" zoomScaleNormal="80" workbookViewId="0">
      <pane ySplit="2" topLeftCell="A75" activePane="bottomLeft" state="frozen"/>
      <selection pane="bottomLeft" activeCell="D5" sqref="D5"/>
    </sheetView>
  </sheetViews>
  <sheetFormatPr defaultRowHeight="14.4"/>
  <cols>
    <col min="1" max="1" width="4.88671875" style="79" customWidth="1"/>
    <col min="2" max="2" width="59" style="79" customWidth="1"/>
    <col min="3" max="3" width="14.88671875" style="79" customWidth="1"/>
    <col min="4" max="6" width="13.88671875" style="79" customWidth="1"/>
    <col min="7" max="7" width="13.88671875" style="80" customWidth="1"/>
    <col min="8" max="16" width="13.88671875" style="79" customWidth="1"/>
    <col min="17" max="17" width="7.88671875" style="79" customWidth="1"/>
    <col min="18" max="1025" width="11.44140625" style="79"/>
  </cols>
  <sheetData>
    <row r="1" spans="1:16" ht="15.6" customHeight="1">
      <c r="A1" s="240" t="s">
        <v>757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</row>
    <row r="2" spans="1:16" s="82" customFormat="1" ht="13.8">
      <c r="A2" s="81"/>
      <c r="B2" s="81"/>
      <c r="C2" s="81"/>
      <c r="P2" s="83" t="s">
        <v>758</v>
      </c>
    </row>
    <row r="3" spans="1:16" s="82" customFormat="1" ht="15.6" customHeight="1">
      <c r="A3" s="238" t="s">
        <v>759</v>
      </c>
      <c r="B3" s="238"/>
      <c r="C3" s="239" t="s">
        <v>760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</row>
    <row r="4" spans="1:16" s="82" customFormat="1" ht="96.6">
      <c r="A4" s="85" t="s">
        <v>761</v>
      </c>
      <c r="B4" s="85" t="s">
        <v>762</v>
      </c>
      <c r="C4" s="84" t="s">
        <v>763</v>
      </c>
      <c r="D4" s="86" t="s">
        <v>764</v>
      </c>
      <c r="E4" s="86" t="s">
        <v>765</v>
      </c>
      <c r="F4" s="87" t="s">
        <v>766</v>
      </c>
      <c r="G4" s="87" t="s">
        <v>767</v>
      </c>
      <c r="H4" s="87" t="s">
        <v>768</v>
      </c>
      <c r="I4" s="87" t="s">
        <v>769</v>
      </c>
      <c r="J4" s="87" t="s">
        <v>770</v>
      </c>
      <c r="K4" s="86" t="s">
        <v>771</v>
      </c>
      <c r="L4" s="86" t="s">
        <v>772</v>
      </c>
      <c r="M4" s="87" t="s">
        <v>773</v>
      </c>
      <c r="N4" s="87" t="s">
        <v>774</v>
      </c>
      <c r="O4" s="87" t="s">
        <v>775</v>
      </c>
      <c r="P4" s="87" t="s">
        <v>776</v>
      </c>
    </row>
    <row r="5" spans="1:16" s="82" customFormat="1" ht="19.5" customHeight="1">
      <c r="A5" s="88"/>
      <c r="B5" s="89" t="s">
        <v>85</v>
      </c>
      <c r="C5" s="90">
        <f t="shared" ref="C5:C37" si="0">SUM(D5:P5)</f>
        <v>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82" customFormat="1" ht="13.8">
      <c r="A6" s="92"/>
      <c r="B6" s="93" t="s">
        <v>777</v>
      </c>
      <c r="C6" s="90">
        <f t="shared" si="0"/>
        <v>5269293</v>
      </c>
      <c r="D6" s="94">
        <f t="shared" ref="D6:P6" si="1">+D26+D33</f>
        <v>5192993</v>
      </c>
      <c r="E6" s="94">
        <f t="shared" si="1"/>
        <v>0</v>
      </c>
      <c r="F6" s="94">
        <f t="shared" si="1"/>
        <v>12300</v>
      </c>
      <c r="G6" s="94">
        <f t="shared" si="1"/>
        <v>0</v>
      </c>
      <c r="H6" s="94">
        <f t="shared" si="1"/>
        <v>0</v>
      </c>
      <c r="I6" s="94">
        <f t="shared" si="1"/>
        <v>50000</v>
      </c>
      <c r="J6" s="94">
        <f t="shared" si="1"/>
        <v>0</v>
      </c>
      <c r="K6" s="94">
        <f t="shared" si="1"/>
        <v>0</v>
      </c>
      <c r="L6" s="94">
        <f t="shared" si="1"/>
        <v>0</v>
      </c>
      <c r="M6" s="94">
        <f t="shared" si="1"/>
        <v>14000</v>
      </c>
      <c r="N6" s="94">
        <f t="shared" si="1"/>
        <v>0</v>
      </c>
      <c r="O6" s="94">
        <f t="shared" si="1"/>
        <v>0</v>
      </c>
      <c r="P6" s="94">
        <f t="shared" si="1"/>
        <v>0</v>
      </c>
    </row>
    <row r="7" spans="1:16" s="82" customFormat="1" ht="21.75" customHeight="1">
      <c r="A7" s="88"/>
      <c r="B7" s="89" t="s">
        <v>778</v>
      </c>
      <c r="C7" s="90">
        <f t="shared" si="0"/>
        <v>0</v>
      </c>
      <c r="D7" s="95">
        <v>0</v>
      </c>
      <c r="E7" s="95"/>
      <c r="F7" s="95"/>
      <c r="G7" s="95"/>
      <c r="H7" s="95"/>
      <c r="I7" s="95"/>
      <c r="J7" s="91"/>
      <c r="K7" s="95"/>
      <c r="L7" s="95"/>
      <c r="M7" s="95"/>
      <c r="N7" s="95"/>
      <c r="O7" s="95"/>
      <c r="P7" s="95"/>
    </row>
    <row r="8" spans="1:16" s="82" customFormat="1" ht="13.8">
      <c r="A8" s="92"/>
      <c r="B8" s="93" t="s">
        <v>779</v>
      </c>
      <c r="C8" s="90">
        <f t="shared" si="0"/>
        <v>5269293</v>
      </c>
      <c r="D8" s="94">
        <f t="shared" ref="D8:P8" si="2">+D5+D6+D7</f>
        <v>5192993</v>
      </c>
      <c r="E8" s="94">
        <f t="shared" si="2"/>
        <v>0</v>
      </c>
      <c r="F8" s="94">
        <f t="shared" si="2"/>
        <v>12300</v>
      </c>
      <c r="G8" s="94">
        <f t="shared" si="2"/>
        <v>0</v>
      </c>
      <c r="H8" s="94">
        <f t="shared" si="2"/>
        <v>0</v>
      </c>
      <c r="I8" s="94">
        <f t="shared" si="2"/>
        <v>50000</v>
      </c>
      <c r="J8" s="94">
        <f t="shared" si="2"/>
        <v>0</v>
      </c>
      <c r="K8" s="94">
        <f t="shared" si="2"/>
        <v>0</v>
      </c>
      <c r="L8" s="94">
        <f t="shared" si="2"/>
        <v>0</v>
      </c>
      <c r="M8" s="94">
        <f t="shared" si="2"/>
        <v>14000</v>
      </c>
      <c r="N8" s="94">
        <f t="shared" si="2"/>
        <v>0</v>
      </c>
      <c r="O8" s="94">
        <f t="shared" si="2"/>
        <v>0</v>
      </c>
      <c r="P8" s="94">
        <f t="shared" si="2"/>
        <v>0</v>
      </c>
    </row>
    <row r="9" spans="1:16" s="82" customFormat="1" ht="13.8">
      <c r="A9" s="96"/>
      <c r="B9" s="97" t="s">
        <v>780</v>
      </c>
      <c r="C9" s="90">
        <f t="shared" si="0"/>
        <v>5269293</v>
      </c>
      <c r="D9" s="98">
        <f>+'PLAN RASHODA I IZDATAKA'!D3</f>
        <v>5192993</v>
      </c>
      <c r="E9" s="98">
        <f>+'PLAN RASHODA I IZDATAKA'!E3</f>
        <v>0</v>
      </c>
      <c r="F9" s="98">
        <f>+'PLAN RASHODA I IZDATAKA'!F3</f>
        <v>12300</v>
      </c>
      <c r="G9" s="98">
        <f>+'PLAN RASHODA I IZDATAKA'!G3</f>
        <v>0</v>
      </c>
      <c r="H9" s="98">
        <f>+'PLAN RASHODA I IZDATAKA'!H3</f>
        <v>0</v>
      </c>
      <c r="I9" s="98">
        <f>+'PLAN RASHODA I IZDATAKA'!I3</f>
        <v>50000</v>
      </c>
      <c r="J9" s="98">
        <f>+'PLAN RASHODA I IZDATAKA'!J3</f>
        <v>0</v>
      </c>
      <c r="K9" s="98">
        <f>+'PLAN RASHODA I IZDATAKA'!K3</f>
        <v>0</v>
      </c>
      <c r="L9" s="98">
        <f>+'PLAN RASHODA I IZDATAKA'!L3</f>
        <v>0</v>
      </c>
      <c r="M9" s="98">
        <f>+'PLAN RASHODA I IZDATAKA'!M3</f>
        <v>14000</v>
      </c>
      <c r="N9" s="98">
        <f>+'PLAN RASHODA I IZDATAKA'!N3</f>
        <v>0</v>
      </c>
      <c r="O9" s="98">
        <f>+'PLAN RASHODA I IZDATAKA'!O3</f>
        <v>0</v>
      </c>
      <c r="P9" s="98">
        <f>+'PLAN RASHODA I IZDATAKA'!P3</f>
        <v>0</v>
      </c>
    </row>
    <row r="10" spans="1:16" s="82" customFormat="1" ht="13.8">
      <c r="A10" s="99"/>
      <c r="B10" s="100" t="s">
        <v>781</v>
      </c>
      <c r="C10" s="101">
        <f t="shared" si="0"/>
        <v>0</v>
      </c>
      <c r="D10" s="102">
        <f t="shared" ref="D10:P10" si="3">+D8-D9</f>
        <v>0</v>
      </c>
      <c r="E10" s="102">
        <f t="shared" si="3"/>
        <v>0</v>
      </c>
      <c r="F10" s="102">
        <f t="shared" si="3"/>
        <v>0</v>
      </c>
      <c r="G10" s="102">
        <f t="shared" si="3"/>
        <v>0</v>
      </c>
      <c r="H10" s="102">
        <f t="shared" si="3"/>
        <v>0</v>
      </c>
      <c r="I10" s="102">
        <f t="shared" si="3"/>
        <v>0</v>
      </c>
      <c r="J10" s="102">
        <f t="shared" si="3"/>
        <v>0</v>
      </c>
      <c r="K10" s="102">
        <f t="shared" si="3"/>
        <v>0</v>
      </c>
      <c r="L10" s="102">
        <f t="shared" si="3"/>
        <v>0</v>
      </c>
      <c r="M10" s="102">
        <f t="shared" si="3"/>
        <v>0</v>
      </c>
      <c r="N10" s="102">
        <f t="shared" si="3"/>
        <v>0</v>
      </c>
      <c r="O10" s="102">
        <f t="shared" si="3"/>
        <v>0</v>
      </c>
      <c r="P10" s="102">
        <f t="shared" si="3"/>
        <v>0</v>
      </c>
    </row>
    <row r="11" spans="1:16" s="82" customFormat="1" ht="13.8">
      <c r="A11" s="103" t="s">
        <v>782</v>
      </c>
      <c r="B11" s="104" t="s">
        <v>783</v>
      </c>
      <c r="C11" s="105">
        <f t="shared" si="0"/>
        <v>0</v>
      </c>
      <c r="D11" s="106">
        <f>SUMIFS('Plan prihoda za unos u SAP'!$G$3:$G$501,'Plan prihoda za unos u SAP'!$C$3:$C$501,"=11",'Plan prihoda za unos u SAP'!$K$3:$K$501,"=631")</f>
        <v>0</v>
      </c>
      <c r="E11" s="106">
        <f>SUMIFS('Plan prihoda za unos u SAP'!$G$3:$G$501,'Plan prihoda za unos u SAP'!$C$3:$C$501,"=12",'Plan prihoda za unos u SAP'!$K$3:$K$501,"=631")</f>
        <v>0</v>
      </c>
      <c r="F11" s="106">
        <f>SUMIFS('Plan prihoda za unos u SAP'!$G$3:$G$501,'Plan prihoda za unos u SAP'!$C$3:$C$501,"=31",'Plan prihoda za unos u SAP'!$K$3:$K$501,"=631")</f>
        <v>0</v>
      </c>
      <c r="G11" s="106">
        <f>SUMIFS('Plan prihoda za unos u SAP'!$G$3:$G$501,'Plan prihoda za unos u SAP'!$C$3:$C$501,"=43",'Plan prihoda za unos u SAP'!$K$3:$K$501,"=631")</f>
        <v>0</v>
      </c>
      <c r="H11" s="106">
        <f>SUMIFS('Plan prihoda za unos u SAP'!$G$3:$G$501,'Plan prihoda za unos u SAP'!$C$3:$C$501,"=51",'Plan prihoda za unos u SAP'!$K$3:$K$501,"=631")</f>
        <v>0</v>
      </c>
      <c r="I11" s="106">
        <f>SUMIFS('Plan prihoda za unos u SAP'!$G$3:$G$501,'Plan prihoda za unos u SAP'!$C$3:$C$501,"=52",'Plan prihoda za unos u SAP'!$K$3:$K$501,"=631")</f>
        <v>0</v>
      </c>
      <c r="J11" s="106">
        <f>SUMIFS('Plan prihoda za unos u SAP'!$G$3:$G$501,'Plan prihoda za unos u SAP'!$C$3:$C$501,"=559",'Plan prihoda za unos u SAP'!$K$3:$K$501,"=631")</f>
        <v>0</v>
      </c>
      <c r="K11" s="106">
        <f>SUMIFS('Plan prihoda za unos u SAP'!$G$3:$G$501,'Plan prihoda za unos u SAP'!$C$3:$C$501,"=561",'Plan prihoda za unos u SAP'!$K$3:$K$501,"=631")</f>
        <v>0</v>
      </c>
      <c r="L11" s="106">
        <f>SUMIFS('Plan prihoda za unos u SAP'!$G$3:$G$501,'Plan prihoda za unos u SAP'!$C$3:$C$501,"=563",'Plan prihoda za unos u SAP'!$K$3:$K$501,"=631")</f>
        <v>0</v>
      </c>
      <c r="M11" s="106">
        <f>SUMIFS('Plan prihoda za unos u SAP'!$G$3:$G$501,'Plan prihoda za unos u SAP'!$C$3:$C$501,"=61",'Plan prihoda za unos u SAP'!$K$3:$K$501,"=631")</f>
        <v>0</v>
      </c>
      <c r="N11" s="106">
        <f>SUMIFS('Plan prihoda za unos u SAP'!$G$3:$G$501,'Plan prihoda za unos u SAP'!$C$3:$C$501,"=63",'Plan prihoda za unos u SAP'!$K$3:$K$501,"=631")</f>
        <v>0</v>
      </c>
      <c r="O11" s="106">
        <f>SUMIFS('Plan prihoda za unos u SAP'!$G$3:$G$501,'Plan prihoda za unos u SAP'!$C$3:$C$501,"=71",'Plan prihoda za unos u SAP'!$K$3:$K$501,"=631")</f>
        <v>0</v>
      </c>
      <c r="P11" s="106">
        <f>SUMIFS('Plan prihoda za unos u SAP'!$G$3:$G$501,'Plan prihoda za unos u SAP'!$C$3:$C$501,"=81",'Plan prihoda za unos u SAP'!$K$3:$K$501,"=631")</f>
        <v>0</v>
      </c>
    </row>
    <row r="12" spans="1:16" s="82" customFormat="1" ht="13.8">
      <c r="A12" s="88" t="s">
        <v>784</v>
      </c>
      <c r="B12" s="89" t="s">
        <v>785</v>
      </c>
      <c r="C12" s="90">
        <f t="shared" si="0"/>
        <v>0</v>
      </c>
      <c r="D12" s="106">
        <f>SUMIFS('Plan prihoda za unos u SAP'!$G$3:$G$501,'Plan prihoda za unos u SAP'!$C$3:$C$501,"=11",'Plan prihoda za unos u SAP'!$K$3:$K$501,"=632")</f>
        <v>0</v>
      </c>
      <c r="E12" s="106">
        <f>SUMIFS('Plan prihoda za unos u SAP'!$G$3:$G$501,'Plan prihoda za unos u SAP'!$C$3:$C$501,"=12",'Plan prihoda za unos u SAP'!$K$3:$K$501,"=632")</f>
        <v>0</v>
      </c>
      <c r="F12" s="106">
        <f>SUMIFS('Plan prihoda za unos u SAP'!$G$3:$G$501,'Plan prihoda za unos u SAP'!$C$3:$C$501,"=31",'Plan prihoda za unos u SAP'!$K$3:$K$501,"=632")</f>
        <v>0</v>
      </c>
      <c r="G12" s="106">
        <f>SUMIFS('Plan prihoda za unos u SAP'!$G$3:$G$501,'Plan prihoda za unos u SAP'!$C$3:$C$501,"=43",'Plan prihoda za unos u SAP'!$K$3:$K$501,"=632")</f>
        <v>0</v>
      </c>
      <c r="H12" s="106">
        <f>SUMIFS('Plan prihoda za unos u SAP'!$G$3:$G$501,'Plan prihoda za unos u SAP'!$C$3:$C$501,"=51",'Plan prihoda za unos u SAP'!$K$3:$K$501,"=632")</f>
        <v>0</v>
      </c>
      <c r="I12" s="106">
        <f>SUMIFS('Plan prihoda za unos u SAP'!$G$3:$G$501,'Plan prihoda za unos u SAP'!$C$3:$C$501,"=52",'Plan prihoda za unos u SAP'!$K$3:$K$501,"=632")</f>
        <v>0</v>
      </c>
      <c r="J12" s="106">
        <f>SUMIFS('Plan prihoda za unos u SAP'!$G$3:$G$501,'Plan prihoda za unos u SAP'!$C$3:$C$501,"=559",'Plan prihoda za unos u SAP'!$K$3:$K$501,"=632")</f>
        <v>0</v>
      </c>
      <c r="K12" s="106">
        <f>SUMIFS('Plan prihoda za unos u SAP'!$G$3:$G$501,'Plan prihoda za unos u SAP'!$C$3:$C$501,"=561",'Plan prihoda za unos u SAP'!$K$3:$K$501,"=632")</f>
        <v>0</v>
      </c>
      <c r="L12" s="106">
        <f>SUMIFS('Plan prihoda za unos u SAP'!$G$3:$G$501,'Plan prihoda za unos u SAP'!$C$3:$C$501,"=563",'Plan prihoda za unos u SAP'!$K$3:$K$501,"=632")</f>
        <v>0</v>
      </c>
      <c r="M12" s="106">
        <f>SUMIFS('Plan prihoda za unos u SAP'!$G$3:$G$501,'Plan prihoda za unos u SAP'!$C$3:$C$501,"=61",'Plan prihoda za unos u SAP'!$K$3:$K$501,"=632")</f>
        <v>0</v>
      </c>
      <c r="N12" s="106">
        <f>SUMIFS('Plan prihoda za unos u SAP'!$G$3:$G$501,'Plan prihoda za unos u SAP'!$C$3:$C$501,"=63",'Plan prihoda za unos u SAP'!$K$3:$K$501,"=632")</f>
        <v>0</v>
      </c>
      <c r="O12" s="106">
        <f>SUMIFS('Plan prihoda za unos u SAP'!$G$3:$G$501,'Plan prihoda za unos u SAP'!$C$3:$C$501,"=71",'Plan prihoda za unos u SAP'!$K$3:$K$501,"=632")</f>
        <v>0</v>
      </c>
      <c r="P12" s="106">
        <f>SUMIFS('Plan prihoda za unos u SAP'!$G$3:$G$501,'Plan prihoda za unos u SAP'!$C$3:$C$501,"=81",'Plan prihoda za unos u SAP'!$K$3:$K$501,"=632")</f>
        <v>0</v>
      </c>
    </row>
    <row r="13" spans="1:16" s="82" customFormat="1" ht="13.8">
      <c r="A13" s="88" t="s">
        <v>786</v>
      </c>
      <c r="B13" s="89" t="s">
        <v>787</v>
      </c>
      <c r="C13" s="90">
        <f t="shared" si="0"/>
        <v>0</v>
      </c>
      <c r="D13" s="106">
        <f>SUMIFS('Plan prihoda za unos u SAP'!$G$3:$G$501,'Plan prihoda za unos u SAP'!$C$3:$C$501,"=11",'Plan prihoda za unos u SAP'!$K$3:$K$501,"=634")</f>
        <v>0</v>
      </c>
      <c r="E13" s="106">
        <f>SUMIFS('Plan prihoda za unos u SAP'!$G$3:$G$501,'Plan prihoda za unos u SAP'!$C$3:$C$501,"=12",'Plan prihoda za unos u SAP'!$K$3:$K$501,"=634")</f>
        <v>0</v>
      </c>
      <c r="F13" s="106">
        <f>SUMIFS('Plan prihoda za unos u SAP'!$G$3:$G$501,'Plan prihoda za unos u SAP'!$C$3:$C$501,"=31",'Plan prihoda za unos u SAP'!$K$3:$K$501,"=634")</f>
        <v>0</v>
      </c>
      <c r="G13" s="106">
        <f>SUMIFS('Plan prihoda za unos u SAP'!$G$3:$G$501,'Plan prihoda za unos u SAP'!$C$3:$C$501,"=43",'Plan prihoda za unos u SAP'!$K$3:$K$501,"=634")</f>
        <v>0</v>
      </c>
      <c r="H13" s="106">
        <f>SUMIFS('Plan prihoda za unos u SAP'!$G$3:$G$501,'Plan prihoda za unos u SAP'!$C$3:$C$501,"=51",'Plan prihoda za unos u SAP'!$K$3:$K$501,"=634")</f>
        <v>0</v>
      </c>
      <c r="I13" s="106">
        <f>SUMIFS('Plan prihoda za unos u SAP'!$G$3:$G$501,'Plan prihoda za unos u SAP'!$C$3:$C$501,"=52",'Plan prihoda za unos u SAP'!$K$3:$K$501,"=634")</f>
        <v>0</v>
      </c>
      <c r="J13" s="106">
        <f>SUMIFS('Plan prihoda za unos u SAP'!$G$3:$G$501,'Plan prihoda za unos u SAP'!$C$3:$C$501,"=559",'Plan prihoda za unos u SAP'!$K$3:$K$501,"=634")</f>
        <v>0</v>
      </c>
      <c r="K13" s="106">
        <f>SUMIFS('Plan prihoda za unos u SAP'!$G$3:$G$501,'Plan prihoda za unos u SAP'!$C$3:$C$501,"=561",'Plan prihoda za unos u SAP'!$K$3:$K$501,"=634")</f>
        <v>0</v>
      </c>
      <c r="L13" s="106">
        <f>SUMIFS('Plan prihoda za unos u SAP'!$G$3:$G$501,'Plan prihoda za unos u SAP'!$C$3:$C$501,"=563",'Plan prihoda za unos u SAP'!$K$3:$K$501,"=634")</f>
        <v>0</v>
      </c>
      <c r="M13" s="106">
        <f>SUMIFS('Plan prihoda za unos u SAP'!$G$3:$G$501,'Plan prihoda za unos u SAP'!$C$3:$C$501,"=61",'Plan prihoda za unos u SAP'!$K$3:$K$501,"=634")</f>
        <v>0</v>
      </c>
      <c r="N13" s="106">
        <f>SUMIFS('Plan prihoda za unos u SAP'!$G$3:$G$501,'Plan prihoda za unos u SAP'!$C$3:$C$501,"=63",'Plan prihoda za unos u SAP'!$K$3:$K$501,"=634")</f>
        <v>0</v>
      </c>
      <c r="O13" s="106">
        <f>SUMIFS('Plan prihoda za unos u SAP'!$G$3:$G$501,'Plan prihoda za unos u SAP'!$C$3:$C$501,"=71",'Plan prihoda za unos u SAP'!$K$3:$K$501,"=634")</f>
        <v>0</v>
      </c>
      <c r="P13" s="106">
        <f>SUMIFS('Plan prihoda za unos u SAP'!$G$3:$G$501,'Plan prihoda za unos u SAP'!$C$3:$C$501,"=81",'Plan prihoda za unos u SAP'!$K$3:$K$501,"=634")</f>
        <v>0</v>
      </c>
    </row>
    <row r="14" spans="1:16" s="82" customFormat="1" ht="13.8">
      <c r="A14" s="107" t="s">
        <v>788</v>
      </c>
      <c r="B14" s="89" t="s">
        <v>469</v>
      </c>
      <c r="C14" s="90">
        <f t="shared" si="0"/>
        <v>0</v>
      </c>
      <c r="D14" s="106">
        <f>SUMIFS('Plan prihoda za unos u SAP'!$G$3:$G$501,'Plan prihoda za unos u SAP'!$C$3:$C$501,"=11",'Plan prihoda za unos u SAP'!$K$3:$K$501,"=636")</f>
        <v>0</v>
      </c>
      <c r="E14" s="106">
        <f>SUMIFS('Plan prihoda za unos u SAP'!$G$3:$G$501,'Plan prihoda za unos u SAP'!$C$3:$C$501,"=12",'Plan prihoda za unos u SAP'!$K$3:$K$501,"=636")</f>
        <v>0</v>
      </c>
      <c r="F14" s="106">
        <f>SUMIFS('Plan prihoda za unos u SAP'!$G$3:$G$501,'Plan prihoda za unos u SAP'!$C$3:$C$501,"=31",'Plan prihoda za unos u SAP'!$K$3:$K$501,"=636")</f>
        <v>0</v>
      </c>
      <c r="G14" s="106">
        <f>SUMIFS('Plan prihoda za unos u SAP'!$G$3:$G$501,'Plan prihoda za unos u SAP'!$C$3:$C$501,"=43",'Plan prihoda za unos u SAP'!$K$3:$K$501,"=636")</f>
        <v>0</v>
      </c>
      <c r="H14" s="106">
        <f>SUMIFS('Plan prihoda za unos u SAP'!$G$3:$G$501,'Plan prihoda za unos u SAP'!$C$3:$C$501,"=51",'Plan prihoda za unos u SAP'!$K$3:$K$501,"=636")</f>
        <v>0</v>
      </c>
      <c r="I14" s="106">
        <f>SUMIFS('Plan prihoda za unos u SAP'!$G$3:$G$501,'Plan prihoda za unos u SAP'!$C$3:$C$501,"=52",'Plan prihoda za unos u SAP'!$K$3:$K$501,"=636")</f>
        <v>0</v>
      </c>
      <c r="J14" s="106">
        <f>SUMIFS('Plan prihoda za unos u SAP'!$G$3:$G$501,'Plan prihoda za unos u SAP'!$C$3:$C$501,"=559",'Plan prihoda za unos u SAP'!$K$3:$K$501,"=636")</f>
        <v>0</v>
      </c>
      <c r="K14" s="106">
        <f>SUMIFS('Plan prihoda za unos u SAP'!$G$3:$G$501,'Plan prihoda za unos u SAP'!$C$3:$C$501,"=561",'Plan prihoda za unos u SAP'!$K$3:$K$501,"=636")</f>
        <v>0</v>
      </c>
      <c r="L14" s="106">
        <f>SUMIFS('Plan prihoda za unos u SAP'!$G$3:$G$501,'Plan prihoda za unos u SAP'!$C$3:$C$501,"=563",'Plan prihoda za unos u SAP'!$K$3:$K$501,"=636")</f>
        <v>0</v>
      </c>
      <c r="M14" s="106">
        <f>SUMIFS('Plan prihoda za unos u SAP'!$G$3:$G$501,'Plan prihoda za unos u SAP'!$C$3:$C$501,"=61",'Plan prihoda za unos u SAP'!$K$3:$K$501,"=636")</f>
        <v>0</v>
      </c>
      <c r="N14" s="106">
        <f>SUMIFS('Plan prihoda za unos u SAP'!$G$3:$G$501,'Plan prihoda za unos u SAP'!$C$3:$C$501,"=63",'Plan prihoda za unos u SAP'!$K$3:$K$501,"=636")</f>
        <v>0</v>
      </c>
      <c r="O14" s="106">
        <f>SUMIFS('Plan prihoda za unos u SAP'!$G$3:$G$501,'Plan prihoda za unos u SAP'!$C$3:$C$501,"=71",'Plan prihoda za unos u SAP'!$K$3:$K$501,"=636")</f>
        <v>0</v>
      </c>
      <c r="P14" s="106">
        <f>SUMIFS('Plan prihoda za unos u SAP'!$G$3:$G$501,'Plan prihoda za unos u SAP'!$C$3:$C$501,"=81",'Plan prihoda za unos u SAP'!$K$3:$K$501,"=636")</f>
        <v>0</v>
      </c>
    </row>
    <row r="15" spans="1:16" s="82" customFormat="1" ht="13.8">
      <c r="A15" s="88" t="s">
        <v>789</v>
      </c>
      <c r="B15" s="89" t="s">
        <v>790</v>
      </c>
      <c r="C15" s="90">
        <f t="shared" si="0"/>
        <v>0</v>
      </c>
      <c r="D15" s="106">
        <f>SUMIFS('Plan prihoda za unos u SAP'!$G$3:$G$501,'Plan prihoda za unos u SAP'!$C$3:$C$501,"=11",'Plan prihoda za unos u SAP'!$K$3:$K$501,"=638")</f>
        <v>0</v>
      </c>
      <c r="E15" s="106">
        <f>SUMIFS('Plan prihoda za unos u SAP'!$G$3:$G$501,'Plan prihoda za unos u SAP'!$C$3:$C$501,"=12",'Plan prihoda za unos u SAP'!$K$3:$K$501,"=638")</f>
        <v>0</v>
      </c>
      <c r="F15" s="106">
        <f>SUMIFS('Plan prihoda za unos u SAP'!$G$3:$G$501,'Plan prihoda za unos u SAP'!$C$3:$C$501,"=31",'Plan prihoda za unos u SAP'!$K$3:$K$501,"=638")</f>
        <v>0</v>
      </c>
      <c r="G15" s="106">
        <f>SUMIFS('Plan prihoda za unos u SAP'!$G$3:$G$501,'Plan prihoda za unos u SAP'!$C$3:$C$501,"=43",'Plan prihoda za unos u SAP'!$K$3:$K$501,"=638")</f>
        <v>0</v>
      </c>
      <c r="H15" s="106">
        <f>SUMIFS('Plan prihoda za unos u SAP'!$G$3:$G$501,'Plan prihoda za unos u SAP'!$C$3:$C$501,"=51",'Plan prihoda za unos u SAP'!$K$3:$K$501,"=638")</f>
        <v>0</v>
      </c>
      <c r="I15" s="106">
        <f>SUMIFS('Plan prihoda za unos u SAP'!$G$3:$G$501,'Plan prihoda za unos u SAP'!$C$3:$C$501,"=52",'Plan prihoda za unos u SAP'!$K$3:$K$501,"=638")</f>
        <v>0</v>
      </c>
      <c r="J15" s="106">
        <f>SUMIFS('Plan prihoda za unos u SAP'!$G$3:$G$501,'Plan prihoda za unos u SAP'!$C$3:$C$501,"=559",'Plan prihoda za unos u SAP'!$K$3:$K$501,"=638")</f>
        <v>0</v>
      </c>
      <c r="K15" s="106">
        <f>SUMIFS('Plan prihoda za unos u SAP'!$G$3:$G$501,'Plan prihoda za unos u SAP'!$C$3:$C$501,"=561",'Plan prihoda za unos u SAP'!$K$3:$K$501,"=638")</f>
        <v>0</v>
      </c>
      <c r="L15" s="106">
        <f>SUMIFS('Plan prihoda za unos u SAP'!$G$3:$G$501,'Plan prihoda za unos u SAP'!$C$3:$C$501,"=563",'Plan prihoda za unos u SAP'!$K$3:$K$501,"=638")</f>
        <v>0</v>
      </c>
      <c r="M15" s="106">
        <f>SUMIFS('Plan prihoda za unos u SAP'!$G$3:$G$501,'Plan prihoda za unos u SAP'!$C$3:$C$501,"=61",'Plan prihoda za unos u SAP'!$K$3:$K$501,"=638")</f>
        <v>0</v>
      </c>
      <c r="N15" s="106">
        <f>SUMIFS('Plan prihoda za unos u SAP'!$G$3:$G$501,'Plan prihoda za unos u SAP'!$C$3:$C$501,"=63",'Plan prihoda za unos u SAP'!$K$3:$K$501,"=638")</f>
        <v>0</v>
      </c>
      <c r="O15" s="106">
        <f>SUMIFS('Plan prihoda za unos u SAP'!$G$3:$G$501,'Plan prihoda za unos u SAP'!$C$3:$C$501,"=71",'Plan prihoda za unos u SAP'!$K$3:$K$501,"=638")</f>
        <v>0</v>
      </c>
      <c r="P15" s="106">
        <f>SUMIFS('Plan prihoda za unos u SAP'!$G$3:$G$501,'Plan prihoda za unos u SAP'!$C$3:$C$501,"=81",'Plan prihoda za unos u SAP'!$K$3:$K$501,"=638")</f>
        <v>0</v>
      </c>
    </row>
    <row r="16" spans="1:16" s="82" customFormat="1" ht="13.8">
      <c r="A16" s="88" t="s">
        <v>791</v>
      </c>
      <c r="B16" s="89" t="s">
        <v>792</v>
      </c>
      <c r="C16" s="90">
        <f t="shared" si="0"/>
        <v>50000</v>
      </c>
      <c r="D16" s="106">
        <f>SUMIFS('Plan prihoda za unos u SAP'!$G$3:$G$501,'Plan prihoda za unos u SAP'!$C$3:$C$501,"=11",'Plan prihoda za unos u SAP'!$K$3:$K$501,"=639")</f>
        <v>0</v>
      </c>
      <c r="E16" s="106">
        <f>SUMIFS('Plan prihoda za unos u SAP'!$G$3:$G$501,'Plan prihoda za unos u SAP'!$C$3:$C$501,"=12",'Plan prihoda za unos u SAP'!$K$3:$K$501,"=639")</f>
        <v>0</v>
      </c>
      <c r="F16" s="106">
        <f>SUMIFS('Plan prihoda za unos u SAP'!$G$3:$G$501,'Plan prihoda za unos u SAP'!$C$3:$C$501,"=31",'Plan prihoda za unos u SAP'!$K$3:$K$501,"=639")</f>
        <v>0</v>
      </c>
      <c r="G16" s="106">
        <f>SUMIFS('Plan prihoda za unos u SAP'!$G$3:$G$501,'Plan prihoda za unos u SAP'!$C$3:$C$501,"=43",'Plan prihoda za unos u SAP'!$K$3:$K$501,"=639")</f>
        <v>0</v>
      </c>
      <c r="H16" s="106">
        <f>SUMIFS('Plan prihoda za unos u SAP'!$G$3:$G$501,'Plan prihoda za unos u SAP'!$C$3:$C$501,"=51",'Plan prihoda za unos u SAP'!$K$3:$K$501,"=639")</f>
        <v>0</v>
      </c>
      <c r="I16" s="106">
        <f>SUMIFS('Plan prihoda za unos u SAP'!$G$3:$G$501,'Plan prihoda za unos u SAP'!$C$3:$C$501,"=52",'Plan prihoda za unos u SAP'!$K$3:$K$501,"=639")</f>
        <v>50000</v>
      </c>
      <c r="J16" s="106">
        <f>SUMIFS('Plan prihoda za unos u SAP'!$G$3:$G$501,'Plan prihoda za unos u SAP'!$C$3:$C$501,"=559",'Plan prihoda za unos u SAP'!$K$3:$K$501,"=639")</f>
        <v>0</v>
      </c>
      <c r="K16" s="106">
        <f>SUMIFS('Plan prihoda za unos u SAP'!$G$3:$G$501,'Plan prihoda za unos u SAP'!$C$3:$C$501,"=561",'Plan prihoda za unos u SAP'!$K$3:$K$501,"=639")</f>
        <v>0</v>
      </c>
      <c r="L16" s="106">
        <f>SUMIFS('Plan prihoda za unos u SAP'!$G$3:$G$501,'Plan prihoda za unos u SAP'!$C$3:$C$501,"=563",'Plan prihoda za unos u SAP'!$K$3:$K$501,"=639")</f>
        <v>0</v>
      </c>
      <c r="M16" s="106">
        <f>SUMIFS('Plan prihoda za unos u SAP'!$G$3:$G$501,'Plan prihoda za unos u SAP'!$C$3:$C$501,"=61",'Plan prihoda za unos u SAP'!$K$3:$K$501,"=639")</f>
        <v>0</v>
      </c>
      <c r="N16" s="106">
        <f>SUMIFS('Plan prihoda za unos u SAP'!$G$3:$G$501,'Plan prihoda za unos u SAP'!$C$3:$C$501,"=63",'Plan prihoda za unos u SAP'!$K$3:$K$501,"=639")</f>
        <v>0</v>
      </c>
      <c r="O16" s="106">
        <f>SUMIFS('Plan prihoda za unos u SAP'!$G$3:$G$501,'Plan prihoda za unos u SAP'!$C$3:$C$501,"=71",'Plan prihoda za unos u SAP'!$K$3:$K$501,"=639")</f>
        <v>0</v>
      </c>
      <c r="P16" s="106">
        <f>SUMIFS('Plan prihoda za unos u SAP'!$G$3:$G$501,'Plan prihoda za unos u SAP'!$C$3:$C$501,"=81",'Plan prihoda za unos u SAP'!$K$3:$K$501,"=639")</f>
        <v>0</v>
      </c>
    </row>
    <row r="17" spans="1:16" s="82" customFormat="1" ht="13.8">
      <c r="A17" s="88" t="s">
        <v>793</v>
      </c>
      <c r="B17" s="89" t="s">
        <v>794</v>
      </c>
      <c r="C17" s="90">
        <f t="shared" si="0"/>
        <v>300</v>
      </c>
      <c r="D17" s="106">
        <f>SUMIFS('Plan prihoda za unos u SAP'!$G$3:$G$501,'Plan prihoda za unos u SAP'!$C$3:$C$501,"=11",'Plan prihoda za unos u SAP'!$K$3:$K$501,"=641")</f>
        <v>0</v>
      </c>
      <c r="E17" s="106">
        <f>SUMIFS('Plan prihoda za unos u SAP'!$G$3:$G$501,'Plan prihoda za unos u SAP'!$C$3:$C$501,"=12",'Plan prihoda za unos u SAP'!$K$3:$K$501,"=641")</f>
        <v>0</v>
      </c>
      <c r="F17" s="106">
        <f>SUMIFS('Plan prihoda za unos u SAP'!$G$3:$G$501,'Plan prihoda za unos u SAP'!$C$3:$C$501,"=31",'Plan prihoda za unos u SAP'!$K$3:$K$501,"=641")</f>
        <v>300</v>
      </c>
      <c r="G17" s="106">
        <f>SUMIFS('Plan prihoda za unos u SAP'!$G$3:$G$501,'Plan prihoda za unos u SAP'!$C$3:$C$501,"=43",'Plan prihoda za unos u SAP'!$K$3:$K$501,"=641")</f>
        <v>0</v>
      </c>
      <c r="H17" s="106">
        <f>SUMIFS('Plan prihoda za unos u SAP'!$G$3:$G$501,'Plan prihoda za unos u SAP'!$C$3:$C$501,"=51",'Plan prihoda za unos u SAP'!$K$3:$K$501,"=641")</f>
        <v>0</v>
      </c>
      <c r="I17" s="106">
        <f>SUMIFS('Plan prihoda za unos u SAP'!$G$3:$G$501,'Plan prihoda za unos u SAP'!$C$3:$C$501,"=52",'Plan prihoda za unos u SAP'!$K$3:$K$501,"=641")</f>
        <v>0</v>
      </c>
      <c r="J17" s="106">
        <f>SUMIFS('Plan prihoda za unos u SAP'!$G$3:$G$501,'Plan prihoda za unos u SAP'!$C$3:$C$501,"=559",'Plan prihoda za unos u SAP'!$K$3:$K$501,"=641")</f>
        <v>0</v>
      </c>
      <c r="K17" s="106">
        <f>SUMIFS('Plan prihoda za unos u SAP'!$G$3:$G$501,'Plan prihoda za unos u SAP'!$C$3:$C$501,"=561",'Plan prihoda za unos u SAP'!$K$3:$K$501,"=641")</f>
        <v>0</v>
      </c>
      <c r="L17" s="106">
        <f>SUMIFS('Plan prihoda za unos u SAP'!$G$3:$G$501,'Plan prihoda za unos u SAP'!$C$3:$C$501,"=563",'Plan prihoda za unos u SAP'!$K$3:$K$501,"=641")</f>
        <v>0</v>
      </c>
      <c r="M17" s="106">
        <f>SUMIFS('Plan prihoda za unos u SAP'!$G$3:$G$501,'Plan prihoda za unos u SAP'!$C$3:$C$501,"=61",'Plan prihoda za unos u SAP'!$K$3:$K$501,"=641")</f>
        <v>0</v>
      </c>
      <c r="N17" s="106">
        <f>SUMIFS('Plan prihoda za unos u SAP'!$G$3:$G$501,'Plan prihoda za unos u SAP'!$C$3:$C$501,"=63",'Plan prihoda za unos u SAP'!$K$3:$K$501,"=641")</f>
        <v>0</v>
      </c>
      <c r="O17" s="106">
        <f>SUMIFS('Plan prihoda za unos u SAP'!$G$3:$G$501,'Plan prihoda za unos u SAP'!$C$3:$C$501,"=71",'Plan prihoda za unos u SAP'!$K$3:$K$501,"=641")</f>
        <v>0</v>
      </c>
      <c r="P17" s="106">
        <f>SUMIFS('Plan prihoda za unos u SAP'!$G$3:$G$501,'Plan prihoda za unos u SAP'!$C$3:$C$501,"=81",'Plan prihoda za unos u SAP'!$K$3:$K$501,"=641")</f>
        <v>0</v>
      </c>
    </row>
    <row r="18" spans="1:16" s="82" customFormat="1" ht="13.8">
      <c r="A18" s="88" t="s">
        <v>795</v>
      </c>
      <c r="B18" s="89" t="s">
        <v>796</v>
      </c>
      <c r="C18" s="90">
        <f t="shared" si="0"/>
        <v>0</v>
      </c>
      <c r="D18" s="106">
        <f>SUMIFS('Plan prihoda za unos u SAP'!$G$3:$G$501,'Plan prihoda za unos u SAP'!$C$3:$C$501,"=11",'Plan prihoda za unos u SAP'!$K$3:$K$501,"=642")</f>
        <v>0</v>
      </c>
      <c r="E18" s="106">
        <f>SUMIFS('Plan prihoda za unos u SAP'!$G$3:$G$501,'Plan prihoda za unos u SAP'!$C$3:$C$501,"=12",'Plan prihoda za unos u SAP'!$K$3:$K$501,"=642")</f>
        <v>0</v>
      </c>
      <c r="F18" s="106">
        <f>SUMIFS('Plan prihoda za unos u SAP'!$G$3:$G$501,'Plan prihoda za unos u SAP'!$C$3:$C$501,"=31",'Plan prihoda za unos u SAP'!$K$3:$K$501,"=642")</f>
        <v>0</v>
      </c>
      <c r="G18" s="106">
        <f>SUMIFS('Plan prihoda za unos u SAP'!$G$3:$G$501,'Plan prihoda za unos u SAP'!$C$3:$C$501,"=43",'Plan prihoda za unos u SAP'!$K$3:$K$501,"=642")</f>
        <v>0</v>
      </c>
      <c r="H18" s="106">
        <f>SUMIFS('Plan prihoda za unos u SAP'!$G$3:$G$501,'Plan prihoda za unos u SAP'!$C$3:$C$501,"=51",'Plan prihoda za unos u SAP'!$K$3:$K$501,"=642")</f>
        <v>0</v>
      </c>
      <c r="I18" s="106">
        <f>SUMIFS('Plan prihoda za unos u SAP'!$G$3:$G$501,'Plan prihoda za unos u SAP'!$C$3:$C$501,"=52",'Plan prihoda za unos u SAP'!$K$3:$K$501,"=642")</f>
        <v>0</v>
      </c>
      <c r="J18" s="106">
        <f>SUMIFS('Plan prihoda za unos u SAP'!$G$3:$G$501,'Plan prihoda za unos u SAP'!$C$3:$C$501,"=559",'Plan prihoda za unos u SAP'!$K$3:$K$501,"=642")</f>
        <v>0</v>
      </c>
      <c r="K18" s="106">
        <f>SUMIFS('Plan prihoda za unos u SAP'!$G$3:$G$501,'Plan prihoda za unos u SAP'!$C$3:$C$501,"=561",'Plan prihoda za unos u SAP'!$K$3:$K$501,"=642")</f>
        <v>0</v>
      </c>
      <c r="L18" s="106">
        <f>SUMIFS('Plan prihoda za unos u SAP'!$G$3:$G$501,'Plan prihoda za unos u SAP'!$C$3:$C$501,"=563",'Plan prihoda za unos u SAP'!$K$3:$K$501,"=642")</f>
        <v>0</v>
      </c>
      <c r="M18" s="106">
        <f>SUMIFS('Plan prihoda za unos u SAP'!$G$3:$G$501,'Plan prihoda za unos u SAP'!$C$3:$C$501,"=61",'Plan prihoda za unos u SAP'!$K$3:$K$501,"=642")</f>
        <v>0</v>
      </c>
      <c r="N18" s="106">
        <f>SUMIFS('Plan prihoda za unos u SAP'!$G$3:$G$501,'Plan prihoda za unos u SAP'!$C$3:$C$501,"=63",'Plan prihoda za unos u SAP'!$K$3:$K$501,"=642")</f>
        <v>0</v>
      </c>
      <c r="O18" s="106">
        <f>SUMIFS('Plan prihoda za unos u SAP'!$G$3:$G$501,'Plan prihoda za unos u SAP'!$C$3:$C$501,"=71",'Plan prihoda za unos u SAP'!$K$3:$K$501,"=642")</f>
        <v>0</v>
      </c>
      <c r="P18" s="106">
        <f>SUMIFS('Plan prihoda za unos u SAP'!$G$3:$G$501,'Plan prihoda za unos u SAP'!$C$3:$C$501,"=81",'Plan prihoda za unos u SAP'!$K$3:$K$501,"=642")</f>
        <v>0</v>
      </c>
    </row>
    <row r="19" spans="1:16" s="82" customFormat="1" ht="13.8">
      <c r="A19" s="107" t="s">
        <v>797</v>
      </c>
      <c r="B19" s="89" t="s">
        <v>472</v>
      </c>
      <c r="C19" s="90">
        <f t="shared" si="0"/>
        <v>0</v>
      </c>
      <c r="D19" s="106">
        <f>SUMIFS('Plan prihoda za unos u SAP'!$G$3:$G$501,'Plan prihoda za unos u SAP'!$C$3:$C$501,"=11",'Plan prihoda za unos u SAP'!$K$3:$K$501,"=651")</f>
        <v>0</v>
      </c>
      <c r="E19" s="106">
        <f>SUMIFS('Plan prihoda za unos u SAP'!$G$3:$G$501,'Plan prihoda za unos u SAP'!$C$3:$C$501,"=12",'Plan prihoda za unos u SAP'!$K$3:$K$501,"=651")</f>
        <v>0</v>
      </c>
      <c r="F19" s="106">
        <f>SUMIFS('Plan prihoda za unos u SAP'!$G$3:$G$501,'Plan prihoda za unos u SAP'!$C$3:$C$501,"=31",'Plan prihoda za unos u SAP'!$K$3:$K$501,"=651")</f>
        <v>0</v>
      </c>
      <c r="G19" s="106">
        <f>SUMIFS('Plan prihoda za unos u SAP'!$G$3:$G$501,'Plan prihoda za unos u SAP'!$C$3:$C$501,"=43",'Plan prihoda za unos u SAP'!$K$3:$K$501,"=651")</f>
        <v>0</v>
      </c>
      <c r="H19" s="106">
        <f>SUMIFS('Plan prihoda za unos u SAP'!$G$3:$G$501,'Plan prihoda za unos u SAP'!$C$3:$C$501,"=51",'Plan prihoda za unos u SAP'!$K$3:$K$501,"=651")</f>
        <v>0</v>
      </c>
      <c r="I19" s="106">
        <f>SUMIFS('Plan prihoda za unos u SAP'!$G$3:$G$501,'Plan prihoda za unos u SAP'!$C$3:$C$501,"=52",'Plan prihoda za unos u SAP'!$K$3:$K$501,"=651")</f>
        <v>0</v>
      </c>
      <c r="J19" s="106">
        <f>SUMIFS('Plan prihoda za unos u SAP'!$G$3:$G$501,'Plan prihoda za unos u SAP'!$C$3:$C$501,"=559",'Plan prihoda za unos u SAP'!$K$3:$K$501,"=651")</f>
        <v>0</v>
      </c>
      <c r="K19" s="106">
        <f>SUMIFS('Plan prihoda za unos u SAP'!$G$3:$G$501,'Plan prihoda za unos u SAP'!$C$3:$C$501,"=561",'Plan prihoda za unos u SAP'!$K$3:$K$501,"=651")</f>
        <v>0</v>
      </c>
      <c r="L19" s="106">
        <f>SUMIFS('Plan prihoda za unos u SAP'!$G$3:$G$501,'Plan prihoda za unos u SAP'!$C$3:$C$501,"=563",'Plan prihoda za unos u SAP'!$K$3:$K$501,"=651")</f>
        <v>0</v>
      </c>
      <c r="M19" s="106">
        <f>SUMIFS('Plan prihoda za unos u SAP'!$G$3:$G$501,'Plan prihoda za unos u SAP'!$C$3:$C$501,"=61",'Plan prihoda za unos u SAP'!$K$3:$K$501,"=651")</f>
        <v>0</v>
      </c>
      <c r="N19" s="106">
        <f>SUMIFS('Plan prihoda za unos u SAP'!$G$3:$G$501,'Plan prihoda za unos u SAP'!$C$3:$C$501,"=63",'Plan prihoda za unos u SAP'!$K$3:$K$501,"=651")</f>
        <v>0</v>
      </c>
      <c r="O19" s="106">
        <f>SUMIFS('Plan prihoda za unos u SAP'!$G$3:$G$501,'Plan prihoda za unos u SAP'!$C$3:$C$501,"=71",'Plan prihoda za unos u SAP'!$K$3:$K$501,"=651")</f>
        <v>0</v>
      </c>
      <c r="P19" s="106">
        <f>SUMIFS('Plan prihoda za unos u SAP'!$G$3:$G$501,'Plan prihoda za unos u SAP'!$C$3:$C$501,"=81",'Plan prihoda za unos u SAP'!$K$3:$K$501,"=651")</f>
        <v>0</v>
      </c>
    </row>
    <row r="20" spans="1:16" s="82" customFormat="1" ht="13.8">
      <c r="A20" s="88" t="s">
        <v>798</v>
      </c>
      <c r="B20" s="89" t="s">
        <v>799</v>
      </c>
      <c r="C20" s="90">
        <f t="shared" si="0"/>
        <v>0</v>
      </c>
      <c r="D20" s="106">
        <f>SUMIFS('Plan prihoda za unos u SAP'!$G$3:$G$501,'Plan prihoda za unos u SAP'!$C$3:$C$501,"=11",'Plan prihoda za unos u SAP'!$K$3:$K$501,"=652")</f>
        <v>0</v>
      </c>
      <c r="E20" s="106">
        <f>SUMIFS('Plan prihoda za unos u SAP'!$G$3:$G$501,'Plan prihoda za unos u SAP'!$C$3:$C$501,"=12",'Plan prihoda za unos u SAP'!$K$3:$K$501,"=652")</f>
        <v>0</v>
      </c>
      <c r="F20" s="106">
        <f>SUMIFS('Plan prihoda za unos u SAP'!$G$3:$G$501,'Plan prihoda za unos u SAP'!$C$3:$C$501,"=31",'Plan prihoda za unos u SAP'!$K$3:$K$501,"=652")</f>
        <v>0</v>
      </c>
      <c r="G20" s="106">
        <f>SUMIFS('Plan prihoda za unos u SAP'!$G$3:$G$501,'Plan prihoda za unos u SAP'!$C$3:$C$501,"=43",'Plan prihoda za unos u SAP'!$K$3:$K$501,"=652")</f>
        <v>0</v>
      </c>
      <c r="H20" s="106">
        <f>SUMIFS('Plan prihoda za unos u SAP'!$G$3:$G$501,'Plan prihoda za unos u SAP'!$C$3:$C$501,"=51",'Plan prihoda za unos u SAP'!$K$3:$K$501,"=652")</f>
        <v>0</v>
      </c>
      <c r="I20" s="106">
        <f>SUMIFS('Plan prihoda za unos u SAP'!$G$3:$G$501,'Plan prihoda za unos u SAP'!$C$3:$C$501,"=52",'Plan prihoda za unos u SAP'!$K$3:$K$501,"=652")</f>
        <v>0</v>
      </c>
      <c r="J20" s="106">
        <f>SUMIFS('Plan prihoda za unos u SAP'!$G$3:$G$501,'Plan prihoda za unos u SAP'!$C$3:$C$501,"=559",'Plan prihoda za unos u SAP'!$K$3:$K$501,"=652")</f>
        <v>0</v>
      </c>
      <c r="K20" s="106">
        <f>SUMIFS('Plan prihoda za unos u SAP'!$G$3:$G$501,'Plan prihoda za unos u SAP'!$C$3:$C$501,"=561",'Plan prihoda za unos u SAP'!$K$3:$K$501,"=652")</f>
        <v>0</v>
      </c>
      <c r="L20" s="106">
        <f>SUMIFS('Plan prihoda za unos u SAP'!$G$3:$G$501,'Plan prihoda za unos u SAP'!$C$3:$C$501,"=563",'Plan prihoda za unos u SAP'!$K$3:$K$501,"=652")</f>
        <v>0</v>
      </c>
      <c r="M20" s="106">
        <f>SUMIFS('Plan prihoda za unos u SAP'!$G$3:$G$501,'Plan prihoda za unos u SAP'!$C$3:$C$501,"=61",'Plan prihoda za unos u SAP'!$K$3:$K$501,"=652")</f>
        <v>0</v>
      </c>
      <c r="N20" s="106">
        <f>SUMIFS('Plan prihoda za unos u SAP'!$G$3:$G$501,'Plan prihoda za unos u SAP'!$C$3:$C$501,"=63",'Plan prihoda za unos u SAP'!$K$3:$K$501,"=652")</f>
        <v>0</v>
      </c>
      <c r="O20" s="106">
        <f>SUMIFS('Plan prihoda za unos u SAP'!$G$3:$G$501,'Plan prihoda za unos u SAP'!$C$3:$C$501,"=71",'Plan prihoda za unos u SAP'!$K$3:$K$501,"=652")</f>
        <v>0</v>
      </c>
      <c r="P20" s="106">
        <f>SUMIFS('Plan prihoda za unos u SAP'!$G$3:$G$501,'Plan prihoda za unos u SAP'!$C$3:$C$501,"=81",'Plan prihoda za unos u SAP'!$K$3:$K$501,"=652")</f>
        <v>0</v>
      </c>
    </row>
    <row r="21" spans="1:16" s="82" customFormat="1" ht="13.8">
      <c r="A21" s="88" t="s">
        <v>800</v>
      </c>
      <c r="B21" s="89" t="s">
        <v>801</v>
      </c>
      <c r="C21" s="90">
        <f t="shared" si="0"/>
        <v>12000</v>
      </c>
      <c r="D21" s="106">
        <f>SUMIFS('Plan prihoda za unos u SAP'!$G$3:$G$501,'Plan prihoda za unos u SAP'!$C$3:$C$501,"=11",'Plan prihoda za unos u SAP'!$K$3:$K$501,"=661")</f>
        <v>0</v>
      </c>
      <c r="E21" s="106">
        <f>SUMIFS('Plan prihoda za unos u SAP'!$G$3:$G$501,'Plan prihoda za unos u SAP'!$C$3:$C$501,"=12",'Plan prihoda za unos u SAP'!$K$3:$K$501,"=661")</f>
        <v>0</v>
      </c>
      <c r="F21" s="106">
        <f>SUMIFS('Plan prihoda za unos u SAP'!$G$3:$G$501,'Plan prihoda za unos u SAP'!$C$3:$C$501,"=31",'Plan prihoda za unos u SAP'!$K$3:$K$501,"=661")</f>
        <v>12000</v>
      </c>
      <c r="G21" s="106">
        <f>SUMIFS('Plan prihoda za unos u SAP'!$G$3:$G$501,'Plan prihoda za unos u SAP'!$C$3:$C$501,"=43",'Plan prihoda za unos u SAP'!$K$3:$K$501,"=661")</f>
        <v>0</v>
      </c>
      <c r="H21" s="106">
        <f>SUMIFS('Plan prihoda za unos u SAP'!$G$3:$G$501,'Plan prihoda za unos u SAP'!$C$3:$C$501,"=51",'Plan prihoda za unos u SAP'!$K$3:$K$501,"=661")</f>
        <v>0</v>
      </c>
      <c r="I21" s="106">
        <f>SUMIFS('Plan prihoda za unos u SAP'!$G$3:$G$501,'Plan prihoda za unos u SAP'!$C$3:$C$501,"=52",'Plan prihoda za unos u SAP'!$K$3:$K$501,"=661")</f>
        <v>0</v>
      </c>
      <c r="J21" s="106">
        <f>SUMIFS('Plan prihoda za unos u SAP'!$G$3:$G$501,'Plan prihoda za unos u SAP'!$C$3:$C$501,"=559",'Plan prihoda za unos u SAP'!$K$3:$K$501,"=661")</f>
        <v>0</v>
      </c>
      <c r="K21" s="106">
        <f>SUMIFS('Plan prihoda za unos u SAP'!$G$3:$G$501,'Plan prihoda za unos u SAP'!$C$3:$C$501,"=561",'Plan prihoda za unos u SAP'!$K$3:$K$501,"=661")</f>
        <v>0</v>
      </c>
      <c r="L21" s="106">
        <f>SUMIFS('Plan prihoda za unos u SAP'!$G$3:$G$501,'Plan prihoda za unos u SAP'!$C$3:$C$501,"=563",'Plan prihoda za unos u SAP'!$K$3:$K$501,"=661")</f>
        <v>0</v>
      </c>
      <c r="M21" s="106">
        <f>SUMIFS('Plan prihoda za unos u SAP'!$G$3:$G$501,'Plan prihoda za unos u SAP'!$C$3:$C$501,"=61",'Plan prihoda za unos u SAP'!$K$3:$K$501,"=661")</f>
        <v>0</v>
      </c>
      <c r="N21" s="106">
        <f>SUMIFS('Plan prihoda za unos u SAP'!$G$3:$G$501,'Plan prihoda za unos u SAP'!$C$3:$C$501,"=63",'Plan prihoda za unos u SAP'!$K$3:$K$501,"=661")</f>
        <v>0</v>
      </c>
      <c r="O21" s="106">
        <f>SUMIFS('Plan prihoda za unos u SAP'!$G$3:$G$501,'Plan prihoda za unos u SAP'!$C$3:$C$501,"=71",'Plan prihoda za unos u SAP'!$K$3:$K$501,"=661")</f>
        <v>0</v>
      </c>
      <c r="P21" s="106">
        <f>SUMIFS('Plan prihoda za unos u SAP'!$G$3:$G$501,'Plan prihoda za unos u SAP'!$C$3:$C$501,"=81",'Plan prihoda za unos u SAP'!$K$3:$K$501,"=661")</f>
        <v>0</v>
      </c>
    </row>
    <row r="22" spans="1:16" s="82" customFormat="1" ht="13.8">
      <c r="A22" s="88" t="s">
        <v>802</v>
      </c>
      <c r="B22" s="89" t="s">
        <v>803</v>
      </c>
      <c r="C22" s="90">
        <f t="shared" si="0"/>
        <v>14000</v>
      </c>
      <c r="D22" s="106">
        <f>SUMIFS('Plan prihoda za unos u SAP'!$G$3:$G$501,'Plan prihoda za unos u SAP'!$C$3:$C$501,"=11",'Plan prihoda za unos u SAP'!$K$3:$K$501,"=663")</f>
        <v>0</v>
      </c>
      <c r="E22" s="106">
        <f>SUMIFS('Plan prihoda za unos u SAP'!$G$3:$G$501,'Plan prihoda za unos u SAP'!$C$3:$C$501,"=12",'Plan prihoda za unos u SAP'!$K$3:$K$501,"=663")</f>
        <v>0</v>
      </c>
      <c r="F22" s="106">
        <f>SUMIFS('Plan prihoda za unos u SAP'!$G$3:$G$501,'Plan prihoda za unos u SAP'!$C$3:$C$501,"=31",'Plan prihoda za unos u SAP'!$K$3:$K$501,"=663")</f>
        <v>0</v>
      </c>
      <c r="G22" s="106">
        <f>SUMIFS('Plan prihoda za unos u SAP'!$G$3:$G$501,'Plan prihoda za unos u SAP'!$C$3:$C$501,"=43",'Plan prihoda za unos u SAP'!$K$3:$K$501,"=663")</f>
        <v>0</v>
      </c>
      <c r="H22" s="106">
        <f>SUMIFS('Plan prihoda za unos u SAP'!$G$3:$G$501,'Plan prihoda za unos u SAP'!$C$3:$C$501,"=51",'Plan prihoda za unos u SAP'!$K$3:$K$501,"=663")</f>
        <v>0</v>
      </c>
      <c r="I22" s="106">
        <f>SUMIFS('Plan prihoda za unos u SAP'!$G$3:$G$501,'Plan prihoda za unos u SAP'!$C$3:$C$501,"=52",'Plan prihoda za unos u SAP'!$K$3:$K$501,"=663")</f>
        <v>0</v>
      </c>
      <c r="J22" s="106">
        <f>SUMIFS('Plan prihoda za unos u SAP'!$G$3:$G$501,'Plan prihoda za unos u SAP'!$C$3:$C$501,"=559",'Plan prihoda za unos u SAP'!$K$3:$K$501,"=663")</f>
        <v>0</v>
      </c>
      <c r="K22" s="106">
        <f>SUMIFS('Plan prihoda za unos u SAP'!$G$3:$G$501,'Plan prihoda za unos u SAP'!$C$3:$C$501,"=561",'Plan prihoda za unos u SAP'!$K$3:$K$501,"=663")</f>
        <v>0</v>
      </c>
      <c r="L22" s="106">
        <f>SUMIFS('Plan prihoda za unos u SAP'!$G$3:$G$501,'Plan prihoda za unos u SAP'!$C$3:$C$501,"=563",'Plan prihoda za unos u SAP'!$K$3:$K$501,"=663")</f>
        <v>0</v>
      </c>
      <c r="M22" s="106">
        <f>SUMIFS('Plan prihoda za unos u SAP'!$G$3:$G$501,'Plan prihoda za unos u SAP'!$C$3:$C$501,"=61",'Plan prihoda za unos u SAP'!$K$3:$K$501,"=663")</f>
        <v>14000</v>
      </c>
      <c r="N22" s="106">
        <f>SUMIFS('Plan prihoda za unos u SAP'!$G$3:$G$501,'Plan prihoda za unos u SAP'!$C$3:$C$501,"=63",'Plan prihoda za unos u SAP'!$K$3:$K$501,"=663")</f>
        <v>0</v>
      </c>
      <c r="O22" s="106">
        <f>SUMIFS('Plan prihoda za unos u SAP'!$G$3:$G$501,'Plan prihoda za unos u SAP'!$C$3:$C$501,"=71",'Plan prihoda za unos u SAP'!$K$3:$K$501,"=663")</f>
        <v>0</v>
      </c>
      <c r="P22" s="106">
        <f>SUMIFS('Plan prihoda za unos u SAP'!$G$3:$G$501,'Plan prihoda za unos u SAP'!$C$3:$C$501,"=81",'Plan prihoda za unos u SAP'!$K$3:$K$501,"=663")</f>
        <v>0</v>
      </c>
    </row>
    <row r="23" spans="1:16" s="82" customFormat="1" ht="27.6">
      <c r="A23" s="88" t="s">
        <v>804</v>
      </c>
      <c r="B23" s="89" t="s">
        <v>466</v>
      </c>
      <c r="C23" s="90">
        <f t="shared" si="0"/>
        <v>5192993</v>
      </c>
      <c r="D23" s="106">
        <f>SUMIFS('Plan prihoda za unos u SAP'!$G$3:$G$501,'Plan prihoda za unos u SAP'!$C$3:$C$501,"=11",'Plan prihoda za unos u SAP'!$K$3:$K$501,"=671")</f>
        <v>5192993</v>
      </c>
      <c r="E23" s="106">
        <f>SUMIFS('Plan prihoda za unos u SAP'!$G$3:$G$501,'Plan prihoda za unos u SAP'!$C$3:$C$501,"=12",'Plan prihoda za unos u SAP'!$K$3:$K$501,"=671")</f>
        <v>0</v>
      </c>
      <c r="F23" s="106">
        <f>SUMIFS('Plan prihoda za unos u SAP'!$G$3:$G$501,'Plan prihoda za unos u SAP'!$C$3:$C$501,"=31",'Plan prihoda za unos u SAP'!$K$3:$K$501,"=671")</f>
        <v>0</v>
      </c>
      <c r="G23" s="106">
        <f>SUMIFS('Plan prihoda za unos u SAP'!$G$3:$G$501,'Plan prihoda za unos u SAP'!$C$3:$C$501,"=43",'Plan prihoda za unos u SAP'!$K$3:$K$501,"=671")</f>
        <v>0</v>
      </c>
      <c r="H23" s="106">
        <f>SUMIFS('Plan prihoda za unos u SAP'!$G$3:$G$501,'Plan prihoda za unos u SAP'!$C$3:$C$501,"=51",'Plan prihoda za unos u SAP'!$K$3:$K$501,"=671")</f>
        <v>0</v>
      </c>
      <c r="I23" s="106">
        <f>SUMIFS('Plan prihoda za unos u SAP'!$G$3:$G$501,'Plan prihoda za unos u SAP'!$C$3:$C$501,"=52",'Plan prihoda za unos u SAP'!$K$3:$K$501,"=671")</f>
        <v>0</v>
      </c>
      <c r="J23" s="106">
        <f>SUMIFS('Plan prihoda za unos u SAP'!$G$3:$G$501,'Plan prihoda za unos u SAP'!$C$3:$C$501,"=559",'Plan prihoda za unos u SAP'!$K$3:$K$501,"=671")</f>
        <v>0</v>
      </c>
      <c r="K23" s="106">
        <f>SUMIFS('Plan prihoda za unos u SAP'!$G$3:$G$501,'Plan prihoda za unos u SAP'!$C$3:$C$501,"=561",'Plan prihoda za unos u SAP'!$K$3:$K$501,"=671")</f>
        <v>0</v>
      </c>
      <c r="L23" s="106">
        <f>SUMIFS('Plan prihoda za unos u SAP'!$G$3:$G$501,'Plan prihoda za unos u SAP'!$C$3:$C$501,"=563",'Plan prihoda za unos u SAP'!$K$3:$K$501,"=671")</f>
        <v>0</v>
      </c>
      <c r="M23" s="106">
        <f>SUMIFS('Plan prihoda za unos u SAP'!$G$3:$G$501,'Plan prihoda za unos u SAP'!$C$3:$C$501,"=61",'Plan prihoda za unos u SAP'!$K$3:$K$501,"=671")</f>
        <v>0</v>
      </c>
      <c r="N23" s="106">
        <f>SUMIFS('Plan prihoda za unos u SAP'!$G$3:$G$501,'Plan prihoda za unos u SAP'!$C$3:$C$501,"=63",'Plan prihoda za unos u SAP'!$K$3:$K$501,"=671")</f>
        <v>0</v>
      </c>
      <c r="O23" s="106">
        <f>SUMIFS('Plan prihoda za unos u SAP'!$G$3:$G$501,'Plan prihoda za unos u SAP'!$C$3:$C$501,"=71",'Plan prihoda za unos u SAP'!$K$3:$K$501,"=671")</f>
        <v>0</v>
      </c>
      <c r="P23" s="106">
        <f>SUMIFS('Plan prihoda za unos u SAP'!$G$3:$G$501,'Plan prihoda za unos u SAP'!$C$3:$C$501,"=81",'Plan prihoda za unos u SAP'!$K$3:$K$501,"=671")</f>
        <v>0</v>
      </c>
    </row>
    <row r="24" spans="1:16" s="82" customFormat="1" ht="13.8">
      <c r="A24" s="88" t="s">
        <v>805</v>
      </c>
      <c r="B24" s="89" t="s">
        <v>806</v>
      </c>
      <c r="C24" s="90">
        <f t="shared" si="0"/>
        <v>0</v>
      </c>
      <c r="D24" s="106">
        <f>SUMIFS('Plan prihoda za unos u SAP'!$G$3:$G$501,'Plan prihoda za unos u SAP'!$C$3:$C$501,"=11",'Plan prihoda za unos u SAP'!$K$3:$K$501,"=681")</f>
        <v>0</v>
      </c>
      <c r="E24" s="106">
        <f>SUMIFS('Plan prihoda za unos u SAP'!$G$3:$G$501,'Plan prihoda za unos u SAP'!$C$3:$C$501,"=12",'Plan prihoda za unos u SAP'!$K$3:$K$501,"=681")</f>
        <v>0</v>
      </c>
      <c r="F24" s="106">
        <f>SUMIFS('Plan prihoda za unos u SAP'!$G$3:$G$501,'Plan prihoda za unos u SAP'!$C$3:$C$501,"=31",'Plan prihoda za unos u SAP'!$K$3:$K$501,"=681")</f>
        <v>0</v>
      </c>
      <c r="G24" s="106">
        <f>SUMIFS('Plan prihoda za unos u SAP'!$G$3:$G$501,'Plan prihoda za unos u SAP'!$C$3:$C$501,"=43",'Plan prihoda za unos u SAP'!$K$3:$K$501,"=681")</f>
        <v>0</v>
      </c>
      <c r="H24" s="106">
        <f>SUMIFS('Plan prihoda za unos u SAP'!$G$3:$G$501,'Plan prihoda za unos u SAP'!$C$3:$C$501,"=51",'Plan prihoda za unos u SAP'!$K$3:$K$501,"=681")</f>
        <v>0</v>
      </c>
      <c r="I24" s="106">
        <f>SUMIFS('Plan prihoda za unos u SAP'!$G$3:$G$501,'Plan prihoda za unos u SAP'!$C$3:$C$501,"=52",'Plan prihoda za unos u SAP'!$K$3:$K$501,"=681")</f>
        <v>0</v>
      </c>
      <c r="J24" s="106">
        <f>SUMIFS('Plan prihoda za unos u SAP'!$G$3:$G$501,'Plan prihoda za unos u SAP'!$C$3:$C$501,"=559",'Plan prihoda za unos u SAP'!$K$3:$K$501,"=681")</f>
        <v>0</v>
      </c>
      <c r="K24" s="106">
        <f>SUMIFS('Plan prihoda za unos u SAP'!$G$3:$G$501,'Plan prihoda za unos u SAP'!$C$3:$C$501,"=561",'Plan prihoda za unos u SAP'!$K$3:$K$501,"=681")</f>
        <v>0</v>
      </c>
      <c r="L24" s="106">
        <f>SUMIFS('Plan prihoda za unos u SAP'!$G$3:$G$501,'Plan prihoda za unos u SAP'!$C$3:$C$501,"=563",'Plan prihoda za unos u SAP'!$K$3:$K$501,"=681")</f>
        <v>0</v>
      </c>
      <c r="M24" s="106">
        <f>SUMIFS('Plan prihoda za unos u SAP'!$G$3:$G$501,'Plan prihoda za unos u SAP'!$C$3:$C$501,"=61",'Plan prihoda za unos u SAP'!$K$3:$K$501,"=681")</f>
        <v>0</v>
      </c>
      <c r="N24" s="106">
        <f>SUMIFS('Plan prihoda za unos u SAP'!$G$3:$G$501,'Plan prihoda za unos u SAP'!$C$3:$C$501,"=63",'Plan prihoda za unos u SAP'!$K$3:$K$501,"=681")</f>
        <v>0</v>
      </c>
      <c r="O24" s="106">
        <f>SUMIFS('Plan prihoda za unos u SAP'!$G$3:$G$501,'Plan prihoda za unos u SAP'!$C$3:$C$501,"=71",'Plan prihoda za unos u SAP'!$K$3:$K$501,"=681")</f>
        <v>0</v>
      </c>
      <c r="P24" s="106">
        <f>SUMIFS('Plan prihoda za unos u SAP'!$G$3:$G$501,'Plan prihoda za unos u SAP'!$C$3:$C$501,"=81",'Plan prihoda za unos u SAP'!$K$3:$K$501,"=681")</f>
        <v>0</v>
      </c>
    </row>
    <row r="25" spans="1:16" s="82" customFormat="1" ht="13.8">
      <c r="A25" s="88" t="s">
        <v>807</v>
      </c>
      <c r="B25" s="89" t="s">
        <v>808</v>
      </c>
      <c r="C25" s="90">
        <f t="shared" si="0"/>
        <v>0</v>
      </c>
      <c r="D25" s="106">
        <f>SUMIFS('Plan prihoda za unos u SAP'!$G$3:$G$501,'Plan prihoda za unos u SAP'!$C$3:$C$501,"=11",'Plan prihoda za unos u SAP'!$K$3:$K$501,"=683")</f>
        <v>0</v>
      </c>
      <c r="E25" s="106">
        <f>SUMIFS('Plan prihoda za unos u SAP'!$G$3:$G$501,'Plan prihoda za unos u SAP'!$C$3:$C$501,"=12",'Plan prihoda za unos u SAP'!$K$3:$K$501,"=683")</f>
        <v>0</v>
      </c>
      <c r="F25" s="106">
        <f>SUMIFS('Plan prihoda za unos u SAP'!$G$3:$G$501,'Plan prihoda za unos u SAP'!$C$3:$C$501,"=31",'Plan prihoda za unos u SAP'!$K$3:$K$501,"=683")</f>
        <v>0</v>
      </c>
      <c r="G25" s="106">
        <f>SUMIFS('Plan prihoda za unos u SAP'!$G$3:$G$501,'Plan prihoda za unos u SAP'!$C$3:$C$501,"=43",'Plan prihoda za unos u SAP'!$K$3:$K$501,"=683")</f>
        <v>0</v>
      </c>
      <c r="H25" s="106">
        <f>SUMIFS('Plan prihoda za unos u SAP'!$G$3:$G$501,'Plan prihoda za unos u SAP'!$C$3:$C$501,"=51",'Plan prihoda za unos u SAP'!$K$3:$K$501,"=683")</f>
        <v>0</v>
      </c>
      <c r="I25" s="106">
        <f>SUMIFS('Plan prihoda za unos u SAP'!$G$3:$G$501,'Plan prihoda za unos u SAP'!$C$3:$C$501,"=52",'Plan prihoda za unos u SAP'!$K$3:$K$501,"=683")</f>
        <v>0</v>
      </c>
      <c r="J25" s="106">
        <f>SUMIFS('Plan prihoda za unos u SAP'!$G$3:$G$501,'Plan prihoda za unos u SAP'!$C$3:$C$501,"=559",'Plan prihoda za unos u SAP'!$K$3:$K$501,"=683")</f>
        <v>0</v>
      </c>
      <c r="K25" s="106">
        <f>SUMIFS('Plan prihoda za unos u SAP'!$G$3:$G$501,'Plan prihoda za unos u SAP'!$C$3:$C$501,"=561",'Plan prihoda za unos u SAP'!$K$3:$K$501,"=683")</f>
        <v>0</v>
      </c>
      <c r="L25" s="106">
        <f>SUMIFS('Plan prihoda za unos u SAP'!$G$3:$G$501,'Plan prihoda za unos u SAP'!$C$3:$C$501,"=563",'Plan prihoda za unos u SAP'!$K$3:$K$501,"=683")</f>
        <v>0</v>
      </c>
      <c r="M25" s="106">
        <f>SUMIFS('Plan prihoda za unos u SAP'!$G$3:$G$501,'Plan prihoda za unos u SAP'!$C$3:$C$501,"=61",'Plan prihoda za unos u SAP'!$K$3:$K$501,"=683")</f>
        <v>0</v>
      </c>
      <c r="N25" s="106">
        <f>SUMIFS('Plan prihoda za unos u SAP'!$G$3:$G$501,'Plan prihoda za unos u SAP'!$C$3:$C$501,"=63",'Plan prihoda za unos u SAP'!$K$3:$K$501,"=683")</f>
        <v>0</v>
      </c>
      <c r="O25" s="106">
        <f>SUMIFS('Plan prihoda za unos u SAP'!$G$3:$G$501,'Plan prihoda za unos u SAP'!$C$3:$C$501,"=71",'Plan prihoda za unos u SAP'!$K$3:$K$501,"=683")</f>
        <v>0</v>
      </c>
      <c r="P25" s="106">
        <f>SUMIFS('Plan prihoda za unos u SAP'!$G$3:$G$501,'Plan prihoda za unos u SAP'!$C$3:$C$501,"=81",'Plan prihoda za unos u SAP'!$K$3:$K$501,"=683")</f>
        <v>0</v>
      </c>
    </row>
    <row r="26" spans="1:16" s="82" customFormat="1" ht="13.8">
      <c r="A26" s="108" t="s">
        <v>809</v>
      </c>
      <c r="B26" s="109" t="s">
        <v>810</v>
      </c>
      <c r="C26" s="90">
        <f t="shared" si="0"/>
        <v>5269293</v>
      </c>
      <c r="D26" s="110">
        <f t="shared" ref="D26:P26" si="4">SUM(D11:D25)</f>
        <v>5192993</v>
      </c>
      <c r="E26" s="110">
        <f t="shared" si="4"/>
        <v>0</v>
      </c>
      <c r="F26" s="110">
        <f t="shared" si="4"/>
        <v>12300</v>
      </c>
      <c r="G26" s="110">
        <f t="shared" si="4"/>
        <v>0</v>
      </c>
      <c r="H26" s="110">
        <f t="shared" si="4"/>
        <v>0</v>
      </c>
      <c r="I26" s="110">
        <f t="shared" si="4"/>
        <v>50000</v>
      </c>
      <c r="J26" s="110">
        <f t="shared" si="4"/>
        <v>0</v>
      </c>
      <c r="K26" s="110">
        <f t="shared" si="4"/>
        <v>0</v>
      </c>
      <c r="L26" s="110">
        <f t="shared" si="4"/>
        <v>0</v>
      </c>
      <c r="M26" s="110">
        <f t="shared" si="4"/>
        <v>14000</v>
      </c>
      <c r="N26" s="110">
        <f t="shared" si="4"/>
        <v>0</v>
      </c>
      <c r="O26" s="110">
        <f t="shared" si="4"/>
        <v>0</v>
      </c>
      <c r="P26" s="110">
        <f t="shared" si="4"/>
        <v>0</v>
      </c>
    </row>
    <row r="27" spans="1:16" s="82" customFormat="1" ht="13.8">
      <c r="A27" s="88" t="s">
        <v>811</v>
      </c>
      <c r="B27" s="111" t="s">
        <v>812</v>
      </c>
      <c r="C27" s="90">
        <f t="shared" si="0"/>
        <v>0</v>
      </c>
      <c r="D27" s="106">
        <f>SUMIFS('Plan prihoda za unos u SAP'!$G$3:$G$501,'Plan prihoda za unos u SAP'!$C$3:$C$501,"=11",'Plan prihoda za unos u SAP'!$K$3:$K$501,"=711")</f>
        <v>0</v>
      </c>
      <c r="E27" s="106">
        <f>SUMIFS('Plan prihoda za unos u SAP'!$G$3:$G$501,'Plan prihoda za unos u SAP'!$C$3:$C$501,"=12",'Plan prihoda za unos u SAP'!$K$3:$K$501,"=711")</f>
        <v>0</v>
      </c>
      <c r="F27" s="106">
        <f>SUMIFS('Plan prihoda za unos u SAP'!$G$3:$G$501,'Plan prihoda za unos u SAP'!$C$3:$C$501,"=31",'Plan prihoda za unos u SAP'!$K$3:$K$501,"=711")</f>
        <v>0</v>
      </c>
      <c r="G27" s="106">
        <f>SUMIFS('Plan prihoda za unos u SAP'!$G$3:$G$501,'Plan prihoda za unos u SAP'!$C$3:$C$501,"=43",'Plan prihoda za unos u SAP'!$K$3:$K$501,"=711")</f>
        <v>0</v>
      </c>
      <c r="H27" s="106">
        <f>SUMIFS('Plan prihoda za unos u SAP'!$G$3:$G$501,'Plan prihoda za unos u SAP'!$C$3:$C$501,"=51",'Plan prihoda za unos u SAP'!$K$3:$K$501,"=711")</f>
        <v>0</v>
      </c>
      <c r="I27" s="106">
        <f>SUMIFS('Plan prihoda za unos u SAP'!$G$3:$G$501,'Plan prihoda za unos u SAP'!$C$3:$C$501,"=52",'Plan prihoda za unos u SAP'!$K$3:$K$501,"=711")</f>
        <v>0</v>
      </c>
      <c r="J27" s="106">
        <f>SUMIFS('Plan prihoda za unos u SAP'!$G$3:$G$501,'Plan prihoda za unos u SAP'!$C$3:$C$501,"=559",'Plan prihoda za unos u SAP'!$K$3:$K$501,"=711")</f>
        <v>0</v>
      </c>
      <c r="K27" s="106">
        <f>SUMIFS('Plan prihoda za unos u SAP'!$G$3:$G$501,'Plan prihoda za unos u SAP'!$C$3:$C$501,"=561",'Plan prihoda za unos u SAP'!$K$3:$K$501,"=711")</f>
        <v>0</v>
      </c>
      <c r="L27" s="106">
        <f>SUMIFS('Plan prihoda za unos u SAP'!$G$3:$G$501,'Plan prihoda za unos u SAP'!$C$3:$C$501,"=563",'Plan prihoda za unos u SAP'!$K$3:$K$501,"=711")</f>
        <v>0</v>
      </c>
      <c r="M27" s="106">
        <f>SUMIFS('Plan prihoda za unos u SAP'!$G$3:$G$501,'Plan prihoda za unos u SAP'!$C$3:$C$501,"=61",'Plan prihoda za unos u SAP'!$K$3:$K$501,"=711")</f>
        <v>0</v>
      </c>
      <c r="N27" s="106">
        <f>SUMIFS('Plan prihoda za unos u SAP'!$G$3:$G$501,'Plan prihoda za unos u SAP'!$C$3:$C$501,"=63",'Plan prihoda za unos u SAP'!$K$3:$K$501,"=711")</f>
        <v>0</v>
      </c>
      <c r="O27" s="106">
        <f>SUMIFS('Plan prihoda za unos u SAP'!$G$3:$G$501,'Plan prihoda za unos u SAP'!$C$3:$C$501,"=71",'Plan prihoda za unos u SAP'!$K$3:$K$501,"=711")</f>
        <v>0</v>
      </c>
      <c r="P27" s="106">
        <f>SUMIFS('Plan prihoda za unos u SAP'!$G$3:$G$501,'Plan prihoda za unos u SAP'!$C$3:$C$501,"=81",'Plan prihoda za unos u SAP'!$K$3:$K$501,"=711")</f>
        <v>0</v>
      </c>
    </row>
    <row r="28" spans="1:16" s="82" customFormat="1" ht="13.8">
      <c r="A28" s="88" t="s">
        <v>813</v>
      </c>
      <c r="B28" s="111" t="s">
        <v>814</v>
      </c>
      <c r="C28" s="90">
        <f t="shared" si="0"/>
        <v>0</v>
      </c>
      <c r="D28" s="106">
        <f>SUMIFS('Plan prihoda za unos u SAP'!$G$3:$G$501,'Plan prihoda za unos u SAP'!$C$3:$C$501,"=11",'Plan prihoda za unos u SAP'!$K$3:$K$501,"=712")</f>
        <v>0</v>
      </c>
      <c r="E28" s="106">
        <f>SUMIFS('Plan prihoda za unos u SAP'!$G$3:$G$501,'Plan prihoda za unos u SAP'!$C$3:$C$501,"=12",'Plan prihoda za unos u SAP'!$K$3:$K$501,"=712")</f>
        <v>0</v>
      </c>
      <c r="F28" s="106">
        <f>SUMIFS('Plan prihoda za unos u SAP'!$G$3:$G$501,'Plan prihoda za unos u SAP'!$C$3:$C$501,"=31",'Plan prihoda za unos u SAP'!$K$3:$K$501,"=712")</f>
        <v>0</v>
      </c>
      <c r="G28" s="106">
        <f>SUMIFS('Plan prihoda za unos u SAP'!$G$3:$G$501,'Plan prihoda za unos u SAP'!$C$3:$C$501,"=43",'Plan prihoda za unos u SAP'!$K$3:$K$501,"=712")</f>
        <v>0</v>
      </c>
      <c r="H28" s="106">
        <f>SUMIFS('Plan prihoda za unos u SAP'!$G$3:$G$501,'Plan prihoda za unos u SAP'!$C$3:$C$501,"=51",'Plan prihoda za unos u SAP'!$K$3:$K$501,"=712")</f>
        <v>0</v>
      </c>
      <c r="I28" s="106">
        <f>SUMIFS('Plan prihoda za unos u SAP'!$G$3:$G$501,'Plan prihoda za unos u SAP'!$C$3:$C$501,"=52",'Plan prihoda za unos u SAP'!$K$3:$K$501,"=712")</f>
        <v>0</v>
      </c>
      <c r="J28" s="106">
        <f>SUMIFS('Plan prihoda za unos u SAP'!$G$3:$G$501,'Plan prihoda za unos u SAP'!$C$3:$C$501,"=559",'Plan prihoda za unos u SAP'!$K$3:$K$501,"=712")</f>
        <v>0</v>
      </c>
      <c r="K28" s="106">
        <f>SUMIFS('Plan prihoda za unos u SAP'!$G$3:$G$501,'Plan prihoda za unos u SAP'!$C$3:$C$501,"=561",'Plan prihoda za unos u SAP'!$K$3:$K$501,"=712")</f>
        <v>0</v>
      </c>
      <c r="L28" s="106">
        <f>SUMIFS('Plan prihoda za unos u SAP'!$G$3:$G$501,'Plan prihoda za unos u SAP'!$C$3:$C$501,"=563",'Plan prihoda za unos u SAP'!$K$3:$K$501,"=712")</f>
        <v>0</v>
      </c>
      <c r="M28" s="106">
        <f>SUMIFS('Plan prihoda za unos u SAP'!$G$3:$G$501,'Plan prihoda za unos u SAP'!$C$3:$C$501,"=61",'Plan prihoda za unos u SAP'!$K$3:$K$501,"=712")</f>
        <v>0</v>
      </c>
      <c r="N28" s="106">
        <f>SUMIFS('Plan prihoda za unos u SAP'!$G$3:$G$501,'Plan prihoda za unos u SAP'!$C$3:$C$501,"=63",'Plan prihoda za unos u SAP'!$K$3:$K$501,"=712")</f>
        <v>0</v>
      </c>
      <c r="O28" s="106">
        <f>SUMIFS('Plan prihoda za unos u SAP'!$G$3:$G$501,'Plan prihoda za unos u SAP'!$C$3:$C$501,"=71",'Plan prihoda za unos u SAP'!$K$3:$K$501,"=712")</f>
        <v>0</v>
      </c>
      <c r="P28" s="106">
        <f>SUMIFS('Plan prihoda za unos u SAP'!$G$3:$G$501,'Plan prihoda za unos u SAP'!$C$3:$C$501,"=81",'Plan prihoda za unos u SAP'!$K$3:$K$501,"=712")</f>
        <v>0</v>
      </c>
    </row>
    <row r="29" spans="1:16" s="82" customFormat="1" ht="13.8">
      <c r="A29" s="88" t="s">
        <v>815</v>
      </c>
      <c r="B29" s="111" t="s">
        <v>816</v>
      </c>
      <c r="C29" s="90">
        <f t="shared" si="0"/>
        <v>0</v>
      </c>
      <c r="D29" s="106">
        <f>SUMIFS('Plan prihoda za unos u SAP'!$G$3:$G$501,'Plan prihoda za unos u SAP'!$C$3:$C$501,"=11",'Plan prihoda za unos u SAP'!$K$3:$K$501,"=721")</f>
        <v>0</v>
      </c>
      <c r="E29" s="106">
        <f>SUMIFS('Plan prihoda za unos u SAP'!$G$3:$G$501,'Plan prihoda za unos u SAP'!$C$3:$C$501,"=12",'Plan prihoda za unos u SAP'!$K$3:$K$501,"=721")</f>
        <v>0</v>
      </c>
      <c r="F29" s="106">
        <f>SUMIFS('Plan prihoda za unos u SAP'!$G$3:$G$501,'Plan prihoda za unos u SAP'!$C$3:$C$501,"=31",'Plan prihoda za unos u SAP'!$K$3:$K$501,"=721")</f>
        <v>0</v>
      </c>
      <c r="G29" s="106">
        <f>SUMIFS('Plan prihoda za unos u SAP'!$G$3:$G$501,'Plan prihoda za unos u SAP'!$C$3:$C$501,"=43",'Plan prihoda za unos u SAP'!$K$3:$K$501,"=721")</f>
        <v>0</v>
      </c>
      <c r="H29" s="106">
        <f>SUMIFS('Plan prihoda za unos u SAP'!$G$3:$G$501,'Plan prihoda za unos u SAP'!$C$3:$C$501,"=51",'Plan prihoda za unos u SAP'!$K$3:$K$501,"=721")</f>
        <v>0</v>
      </c>
      <c r="I29" s="106">
        <f>SUMIFS('Plan prihoda za unos u SAP'!$G$3:$G$501,'Plan prihoda za unos u SAP'!$C$3:$C$501,"=52",'Plan prihoda za unos u SAP'!$K$3:$K$501,"=721")</f>
        <v>0</v>
      </c>
      <c r="J29" s="106">
        <f>SUMIFS('Plan prihoda za unos u SAP'!$G$3:$G$501,'Plan prihoda za unos u SAP'!$C$3:$C$501,"=559",'Plan prihoda za unos u SAP'!$K$3:$K$501,"=721")</f>
        <v>0</v>
      </c>
      <c r="K29" s="106">
        <f>SUMIFS('Plan prihoda za unos u SAP'!$G$3:$G$501,'Plan prihoda za unos u SAP'!$C$3:$C$501,"=561",'Plan prihoda za unos u SAP'!$K$3:$K$501,"=721")</f>
        <v>0</v>
      </c>
      <c r="L29" s="106">
        <f>SUMIFS('Plan prihoda za unos u SAP'!$G$3:$G$501,'Plan prihoda za unos u SAP'!$C$3:$C$501,"=563",'Plan prihoda za unos u SAP'!$K$3:$K$501,"=721")</f>
        <v>0</v>
      </c>
      <c r="M29" s="106">
        <f>SUMIFS('Plan prihoda za unos u SAP'!$G$3:$G$501,'Plan prihoda za unos u SAP'!$C$3:$C$501,"=61",'Plan prihoda za unos u SAP'!$K$3:$K$501,"=721")</f>
        <v>0</v>
      </c>
      <c r="N29" s="106">
        <f>SUMIFS('Plan prihoda za unos u SAP'!$G$3:$G$501,'Plan prihoda za unos u SAP'!$C$3:$C$501,"=63",'Plan prihoda za unos u SAP'!$K$3:$K$501,"=721")</f>
        <v>0</v>
      </c>
      <c r="O29" s="106">
        <f>SUMIFS('Plan prihoda za unos u SAP'!$G$3:$G$501,'Plan prihoda za unos u SAP'!$C$3:$C$501,"=71",'Plan prihoda za unos u SAP'!$K$3:$K$501,"=721")</f>
        <v>0</v>
      </c>
      <c r="P29" s="106">
        <f>SUMIFS('Plan prihoda za unos u SAP'!$G$3:$G$501,'Plan prihoda za unos u SAP'!$C$3:$C$501,"=81",'Plan prihoda za unos u SAP'!$K$3:$K$501,"=721")</f>
        <v>0</v>
      </c>
    </row>
    <row r="30" spans="1:16" s="82" customFormat="1" ht="13.8">
      <c r="A30" s="88" t="s">
        <v>817</v>
      </c>
      <c r="B30" s="111" t="s">
        <v>818</v>
      </c>
      <c r="C30" s="90">
        <f t="shared" si="0"/>
        <v>0</v>
      </c>
      <c r="D30" s="106">
        <f>SUMIFS('Plan prihoda za unos u SAP'!$G$3:$G$501,'Plan prihoda za unos u SAP'!$C$3:$C$501,"=11",'Plan prihoda za unos u SAP'!$K$3:$K$501,"=722")</f>
        <v>0</v>
      </c>
      <c r="E30" s="106">
        <f>SUMIFS('Plan prihoda za unos u SAP'!$G$3:$G$501,'Plan prihoda za unos u SAP'!$C$3:$C$501,"=12",'Plan prihoda za unos u SAP'!$K$3:$K$501,"=722")</f>
        <v>0</v>
      </c>
      <c r="F30" s="106">
        <f>SUMIFS('Plan prihoda za unos u SAP'!$G$3:$G$501,'Plan prihoda za unos u SAP'!$C$3:$C$501,"=31",'Plan prihoda za unos u SAP'!$K$3:$K$501,"=722")</f>
        <v>0</v>
      </c>
      <c r="G30" s="106">
        <f>SUMIFS('Plan prihoda za unos u SAP'!$G$3:$G$501,'Plan prihoda za unos u SAP'!$C$3:$C$501,"=43",'Plan prihoda za unos u SAP'!$K$3:$K$501,"=722")</f>
        <v>0</v>
      </c>
      <c r="H30" s="106">
        <f>SUMIFS('Plan prihoda za unos u SAP'!$G$3:$G$501,'Plan prihoda za unos u SAP'!$C$3:$C$501,"=51",'Plan prihoda za unos u SAP'!$K$3:$K$501,"=722")</f>
        <v>0</v>
      </c>
      <c r="I30" s="106">
        <f>SUMIFS('Plan prihoda za unos u SAP'!$G$3:$G$501,'Plan prihoda za unos u SAP'!$C$3:$C$501,"=52",'Plan prihoda za unos u SAP'!$K$3:$K$501,"=722")</f>
        <v>0</v>
      </c>
      <c r="J30" s="106">
        <f>SUMIFS('Plan prihoda za unos u SAP'!$G$3:$G$501,'Plan prihoda za unos u SAP'!$C$3:$C$501,"=559",'Plan prihoda za unos u SAP'!$K$3:$K$501,"=722")</f>
        <v>0</v>
      </c>
      <c r="K30" s="106">
        <f>SUMIFS('Plan prihoda za unos u SAP'!$G$3:$G$501,'Plan prihoda za unos u SAP'!$C$3:$C$501,"=561",'Plan prihoda za unos u SAP'!$K$3:$K$501,"=722")</f>
        <v>0</v>
      </c>
      <c r="L30" s="106">
        <f>SUMIFS('Plan prihoda za unos u SAP'!$G$3:$G$501,'Plan prihoda za unos u SAP'!$C$3:$C$501,"=563",'Plan prihoda za unos u SAP'!$K$3:$K$501,"=722")</f>
        <v>0</v>
      </c>
      <c r="M30" s="106">
        <f>SUMIFS('Plan prihoda za unos u SAP'!$G$3:$G$501,'Plan prihoda za unos u SAP'!$C$3:$C$501,"=61",'Plan prihoda za unos u SAP'!$K$3:$K$501,"=722")</f>
        <v>0</v>
      </c>
      <c r="N30" s="106">
        <f>SUMIFS('Plan prihoda za unos u SAP'!$G$3:$G$501,'Plan prihoda za unos u SAP'!$C$3:$C$501,"=63",'Plan prihoda za unos u SAP'!$K$3:$K$501,"=722")</f>
        <v>0</v>
      </c>
      <c r="O30" s="106">
        <f>SUMIFS('Plan prihoda za unos u SAP'!$G$3:$G$501,'Plan prihoda za unos u SAP'!$C$3:$C$501,"=71",'Plan prihoda za unos u SAP'!$K$3:$K$501,"=722")</f>
        <v>0</v>
      </c>
      <c r="P30" s="106">
        <f>SUMIFS('Plan prihoda za unos u SAP'!$G$3:$G$501,'Plan prihoda za unos u SAP'!$C$3:$C$501,"=81",'Plan prihoda za unos u SAP'!$K$3:$K$501,"=722")</f>
        <v>0</v>
      </c>
    </row>
    <row r="31" spans="1:16" s="82" customFormat="1" ht="13.8">
      <c r="A31" s="88" t="s">
        <v>819</v>
      </c>
      <c r="B31" s="111" t="s">
        <v>820</v>
      </c>
      <c r="C31" s="90">
        <f t="shared" si="0"/>
        <v>0</v>
      </c>
      <c r="D31" s="106">
        <f>SUMIFS('Plan prihoda za unos u SAP'!$G$3:$G$501,'Plan prihoda za unos u SAP'!$C$3:$C$501,"=11",'Plan prihoda za unos u SAP'!$K$3:$K$501,"=723")</f>
        <v>0</v>
      </c>
      <c r="E31" s="106">
        <f>SUMIFS('Plan prihoda za unos u SAP'!$G$3:$G$501,'Plan prihoda za unos u SAP'!$C$3:$C$501,"=12",'Plan prihoda za unos u SAP'!$K$3:$K$501,"=723")</f>
        <v>0</v>
      </c>
      <c r="F31" s="106">
        <f>SUMIFS('Plan prihoda za unos u SAP'!$G$3:$G$501,'Plan prihoda za unos u SAP'!$C$3:$C$501,"=31",'Plan prihoda za unos u SAP'!$K$3:$K$501,"=723")</f>
        <v>0</v>
      </c>
      <c r="G31" s="106">
        <f>SUMIFS('Plan prihoda za unos u SAP'!$G$3:$G$501,'Plan prihoda za unos u SAP'!$C$3:$C$501,"=43",'Plan prihoda za unos u SAP'!$K$3:$K$501,"=723")</f>
        <v>0</v>
      </c>
      <c r="H31" s="106">
        <f>SUMIFS('Plan prihoda za unos u SAP'!$G$3:$G$501,'Plan prihoda za unos u SAP'!$C$3:$C$501,"=51",'Plan prihoda za unos u SAP'!$K$3:$K$501,"=723")</f>
        <v>0</v>
      </c>
      <c r="I31" s="106">
        <f>SUMIFS('Plan prihoda za unos u SAP'!$G$3:$G$501,'Plan prihoda za unos u SAP'!$C$3:$C$501,"=52",'Plan prihoda za unos u SAP'!$K$3:$K$501,"=723")</f>
        <v>0</v>
      </c>
      <c r="J31" s="106">
        <f>SUMIFS('Plan prihoda za unos u SAP'!$G$3:$G$501,'Plan prihoda za unos u SAP'!$C$3:$C$501,"=559",'Plan prihoda za unos u SAP'!$K$3:$K$501,"=723")</f>
        <v>0</v>
      </c>
      <c r="K31" s="106">
        <f>SUMIFS('Plan prihoda za unos u SAP'!$G$3:$G$501,'Plan prihoda za unos u SAP'!$C$3:$C$501,"=561",'Plan prihoda za unos u SAP'!$K$3:$K$501,"=723")</f>
        <v>0</v>
      </c>
      <c r="L31" s="106">
        <f>SUMIFS('Plan prihoda za unos u SAP'!$G$3:$G$501,'Plan prihoda za unos u SAP'!$C$3:$C$501,"=563",'Plan prihoda za unos u SAP'!$K$3:$K$501,"=723")</f>
        <v>0</v>
      </c>
      <c r="M31" s="106">
        <f>SUMIFS('Plan prihoda za unos u SAP'!$G$3:$G$501,'Plan prihoda za unos u SAP'!$C$3:$C$501,"=61",'Plan prihoda za unos u SAP'!$K$3:$K$501,"=723")</f>
        <v>0</v>
      </c>
      <c r="N31" s="106">
        <f>SUMIFS('Plan prihoda za unos u SAP'!$G$3:$G$501,'Plan prihoda za unos u SAP'!$C$3:$C$501,"=63",'Plan prihoda za unos u SAP'!$K$3:$K$501,"=723")</f>
        <v>0</v>
      </c>
      <c r="O31" s="106">
        <f>SUMIFS('Plan prihoda za unos u SAP'!$G$3:$G$501,'Plan prihoda za unos u SAP'!$C$3:$C$501,"=71",'Plan prihoda za unos u SAP'!$K$3:$K$501,"=723")</f>
        <v>0</v>
      </c>
      <c r="P31" s="106">
        <f>SUMIFS('Plan prihoda za unos u SAP'!$G$3:$G$501,'Plan prihoda za unos u SAP'!$C$3:$C$501,"=81",'Plan prihoda za unos u SAP'!$K$3:$K$501,"=723")</f>
        <v>0</v>
      </c>
    </row>
    <row r="32" spans="1:16" s="82" customFormat="1" ht="13.8">
      <c r="A32" s="88" t="s">
        <v>821</v>
      </c>
      <c r="B32" s="111" t="s">
        <v>822</v>
      </c>
      <c r="C32" s="90">
        <f t="shared" si="0"/>
        <v>0</v>
      </c>
      <c r="D32" s="106">
        <f>SUMIFS('Plan prihoda za unos u SAP'!$G$3:$G$501,'Plan prihoda za unos u SAP'!$C$3:$C$501,"=11",'Plan prihoda za unos u SAP'!$K$3:$K$501,"=725")</f>
        <v>0</v>
      </c>
      <c r="E32" s="106">
        <f>SUMIFS('Plan prihoda za unos u SAP'!$G$3:$G$501,'Plan prihoda za unos u SAP'!$C$3:$C$501,"=12",'Plan prihoda za unos u SAP'!$K$3:$K$501,"=725")</f>
        <v>0</v>
      </c>
      <c r="F32" s="106">
        <f>SUMIFS('Plan prihoda za unos u SAP'!$G$3:$G$501,'Plan prihoda za unos u SAP'!$C$3:$C$501,"=31",'Plan prihoda za unos u SAP'!$K$3:$K$501,"=725")</f>
        <v>0</v>
      </c>
      <c r="G32" s="106">
        <f>SUMIFS('Plan prihoda za unos u SAP'!$G$3:$G$501,'Plan prihoda za unos u SAP'!$C$3:$C$501,"=43",'Plan prihoda za unos u SAP'!$K$3:$K$501,"=725")</f>
        <v>0</v>
      </c>
      <c r="H32" s="106">
        <f>SUMIFS('Plan prihoda za unos u SAP'!$G$3:$G$501,'Plan prihoda za unos u SAP'!$C$3:$C$501,"=51",'Plan prihoda za unos u SAP'!$K$3:$K$501,"=725")</f>
        <v>0</v>
      </c>
      <c r="I32" s="106">
        <f>SUMIFS('Plan prihoda za unos u SAP'!$G$3:$G$501,'Plan prihoda za unos u SAP'!$C$3:$C$501,"=52",'Plan prihoda za unos u SAP'!$K$3:$K$501,"=725")</f>
        <v>0</v>
      </c>
      <c r="J32" s="106">
        <f>SUMIFS('Plan prihoda za unos u SAP'!$G$3:$G$501,'Plan prihoda za unos u SAP'!$C$3:$C$501,"=559",'Plan prihoda za unos u SAP'!$K$3:$K$501,"=725")</f>
        <v>0</v>
      </c>
      <c r="K32" s="106">
        <f>SUMIFS('Plan prihoda za unos u SAP'!$G$3:$G$501,'Plan prihoda za unos u SAP'!$C$3:$C$501,"=561",'Plan prihoda za unos u SAP'!$K$3:$K$501,"=725")</f>
        <v>0</v>
      </c>
      <c r="L32" s="106">
        <f>SUMIFS('Plan prihoda za unos u SAP'!$G$3:$G$501,'Plan prihoda za unos u SAP'!$C$3:$C$501,"=563",'Plan prihoda za unos u SAP'!$K$3:$K$501,"=725")</f>
        <v>0</v>
      </c>
      <c r="M32" s="106">
        <f>SUMIFS('Plan prihoda za unos u SAP'!$G$3:$G$501,'Plan prihoda za unos u SAP'!$C$3:$C$501,"=61",'Plan prihoda za unos u SAP'!$K$3:$K$501,"=725")</f>
        <v>0</v>
      </c>
      <c r="N32" s="106">
        <f>SUMIFS('Plan prihoda za unos u SAP'!$G$3:$G$501,'Plan prihoda za unos u SAP'!$C$3:$C$501,"=63",'Plan prihoda za unos u SAP'!$K$3:$K$501,"=725")</f>
        <v>0</v>
      </c>
      <c r="O32" s="106">
        <f>SUMIFS('Plan prihoda za unos u SAP'!$G$3:$G$501,'Plan prihoda za unos u SAP'!$C$3:$C$501,"=71",'Plan prihoda za unos u SAP'!$K$3:$K$501,"=725")</f>
        <v>0</v>
      </c>
      <c r="P32" s="106">
        <f>SUMIFS('Plan prihoda za unos u SAP'!$G$3:$G$501,'Plan prihoda za unos u SAP'!$C$3:$C$501,"=81",'Plan prihoda za unos u SAP'!$K$3:$K$501,"=725")</f>
        <v>0</v>
      </c>
    </row>
    <row r="33" spans="1:16" s="82" customFormat="1" ht="13.8">
      <c r="A33" s="108" t="s">
        <v>823</v>
      </c>
      <c r="B33" s="109" t="s">
        <v>810</v>
      </c>
      <c r="C33" s="90">
        <f t="shared" si="0"/>
        <v>0</v>
      </c>
      <c r="D33" s="110">
        <f t="shared" ref="D33:P33" si="5">SUM(D27:D32)</f>
        <v>0</v>
      </c>
      <c r="E33" s="110">
        <f t="shared" si="5"/>
        <v>0</v>
      </c>
      <c r="F33" s="110">
        <f t="shared" si="5"/>
        <v>0</v>
      </c>
      <c r="G33" s="110">
        <f t="shared" si="5"/>
        <v>0</v>
      </c>
      <c r="H33" s="110">
        <f t="shared" si="5"/>
        <v>0</v>
      </c>
      <c r="I33" s="110">
        <f t="shared" si="5"/>
        <v>0</v>
      </c>
      <c r="J33" s="110">
        <f t="shared" si="5"/>
        <v>0</v>
      </c>
      <c r="K33" s="110">
        <f t="shared" si="5"/>
        <v>0</v>
      </c>
      <c r="L33" s="110">
        <f t="shared" si="5"/>
        <v>0</v>
      </c>
      <c r="M33" s="110">
        <f t="shared" si="5"/>
        <v>0</v>
      </c>
      <c r="N33" s="110">
        <f t="shared" si="5"/>
        <v>0</v>
      </c>
      <c r="O33" s="110">
        <f t="shared" si="5"/>
        <v>0</v>
      </c>
      <c r="P33" s="110">
        <f t="shared" si="5"/>
        <v>0</v>
      </c>
    </row>
    <row r="34" spans="1:16" s="82" customFormat="1" ht="27.6">
      <c r="A34" s="112">
        <v>812</v>
      </c>
      <c r="B34" s="113" t="s">
        <v>824</v>
      </c>
      <c r="C34" s="90">
        <f t="shared" si="0"/>
        <v>0</v>
      </c>
      <c r="D34" s="106">
        <f>SUMIFS('Plan prihoda za unos u SAP'!$G$3:$G$501,'Plan prihoda za unos u SAP'!$C$3:$C$501,"=11",'Plan prihoda za unos u SAP'!$K$3:$K$501,"=812")</f>
        <v>0</v>
      </c>
      <c r="E34" s="106">
        <f>SUMIFS('Plan prihoda za unos u SAP'!$G$3:$G$501,'Plan prihoda za unos u SAP'!$C$3:$C$501,"=12",'Plan prihoda za unos u SAP'!$K$3:$K$501,"=812")</f>
        <v>0</v>
      </c>
      <c r="F34" s="106">
        <f>SUMIFS('Plan prihoda za unos u SAP'!$G$3:$G$501,'Plan prihoda za unos u SAP'!$C$3:$C$501,"=31",'Plan prihoda za unos u SAP'!$K$3:$K$501,"=812")</f>
        <v>0</v>
      </c>
      <c r="G34" s="106">
        <f>SUMIFS('Plan prihoda za unos u SAP'!$G$3:$G$501,'Plan prihoda za unos u SAP'!$C$3:$C$501,"=43",'Plan prihoda za unos u SAP'!$K$3:$K$501,"=812")</f>
        <v>0</v>
      </c>
      <c r="H34" s="106">
        <f>SUMIFS('Plan prihoda za unos u SAP'!$G$3:$G$501,'Plan prihoda za unos u SAP'!$C$3:$C$501,"=51",'Plan prihoda za unos u SAP'!$K$3:$K$501,"=812")</f>
        <v>0</v>
      </c>
      <c r="I34" s="106">
        <f>SUMIFS('Plan prihoda za unos u SAP'!$G$3:$G$501,'Plan prihoda za unos u SAP'!$C$3:$C$501,"=52",'Plan prihoda za unos u SAP'!$K$3:$K$501,"=812")</f>
        <v>0</v>
      </c>
      <c r="J34" s="106">
        <f>SUMIFS('Plan prihoda za unos u SAP'!$G$3:$G$501,'Plan prihoda za unos u SAP'!$C$3:$C$501,"=559",'Plan prihoda za unos u SAP'!$K$3:$K$501,"=812")</f>
        <v>0</v>
      </c>
      <c r="K34" s="106">
        <f>SUMIFS('Plan prihoda za unos u SAP'!$G$3:$G$501,'Plan prihoda za unos u SAP'!$C$3:$C$501,"=561",'Plan prihoda za unos u SAP'!$K$3:$K$501,"=812")</f>
        <v>0</v>
      </c>
      <c r="L34" s="106">
        <f>SUMIFS('Plan prihoda za unos u SAP'!$G$3:$G$501,'Plan prihoda za unos u SAP'!$C$3:$C$501,"=563",'Plan prihoda za unos u SAP'!$K$3:$K$501,"=812")</f>
        <v>0</v>
      </c>
      <c r="M34" s="106">
        <f>SUMIFS('Plan prihoda za unos u SAP'!$G$3:$G$501,'Plan prihoda za unos u SAP'!$C$3:$C$501,"=61",'Plan prihoda za unos u SAP'!$K$3:$K$501,"=812")</f>
        <v>0</v>
      </c>
      <c r="N34" s="106">
        <f>SUMIFS('Plan prihoda za unos u SAP'!$G$3:$G$501,'Plan prihoda za unos u SAP'!$C$3:$C$501,"=63",'Plan prihoda za unos u SAP'!$K$3:$K$501,"=812")</f>
        <v>0</v>
      </c>
      <c r="O34" s="106">
        <f>SUMIFS('Plan prihoda za unos u SAP'!$G$3:$G$501,'Plan prihoda za unos u SAP'!$C$3:$C$501,"=71",'Plan prihoda za unos u SAP'!$K$3:$K$501,"=812")</f>
        <v>0</v>
      </c>
      <c r="P34" s="106">
        <f>SUMIFS('Plan prihoda za unos u SAP'!$G$3:$G$501,'Plan prihoda za unos u SAP'!$C$3:$C$501,"=81",'Plan prihoda za unos u SAP'!$K$3:$K$501,"=812")</f>
        <v>0</v>
      </c>
    </row>
    <row r="35" spans="1:16" s="82" customFormat="1" ht="27.6">
      <c r="A35" s="112">
        <v>842</v>
      </c>
      <c r="B35" s="113" t="s">
        <v>825</v>
      </c>
      <c r="C35" s="90">
        <f t="shared" si="0"/>
        <v>0</v>
      </c>
      <c r="D35" s="106">
        <f>SUMIFS('Plan prihoda za unos u SAP'!$G$3:$G$501,'Plan prihoda za unos u SAP'!$C$3:$C$501,"=11",'Plan prihoda za unos u SAP'!$K$3:$K$501,"=842")</f>
        <v>0</v>
      </c>
      <c r="E35" s="106">
        <f>SUMIFS('Plan prihoda za unos u SAP'!$G$3:$G$501,'Plan prihoda za unos u SAP'!$C$3:$C$501,"=12",'Plan prihoda za unos u SAP'!$K$3:$K$501,"=842")</f>
        <v>0</v>
      </c>
      <c r="F35" s="106">
        <f>SUMIFS('Plan prihoda za unos u SAP'!$G$3:$G$501,'Plan prihoda za unos u SAP'!$C$3:$C$501,"=31",'Plan prihoda za unos u SAP'!$K$3:$K$501,"=842")</f>
        <v>0</v>
      </c>
      <c r="G35" s="106">
        <f>SUMIFS('Plan prihoda za unos u SAP'!$G$3:$G$501,'Plan prihoda za unos u SAP'!$C$3:$C$501,"=43",'Plan prihoda za unos u SAP'!$K$3:$K$501,"=842")</f>
        <v>0</v>
      </c>
      <c r="H35" s="106">
        <f>SUMIFS('Plan prihoda za unos u SAP'!$G$3:$G$501,'Plan prihoda za unos u SAP'!$C$3:$C$501,"=51",'Plan prihoda za unos u SAP'!$K$3:$K$501,"=842")</f>
        <v>0</v>
      </c>
      <c r="I35" s="106">
        <f>SUMIFS('Plan prihoda za unos u SAP'!$G$3:$G$501,'Plan prihoda za unos u SAP'!$C$3:$C$501,"=52",'Plan prihoda za unos u SAP'!$K$3:$K$501,"=842")</f>
        <v>0</v>
      </c>
      <c r="J35" s="106">
        <f>SUMIFS('Plan prihoda za unos u SAP'!$G$3:$G$501,'Plan prihoda za unos u SAP'!$C$3:$C$501,"=559",'Plan prihoda za unos u SAP'!$K$3:$K$501,"=842")</f>
        <v>0</v>
      </c>
      <c r="K35" s="106">
        <f>SUMIFS('Plan prihoda za unos u SAP'!$G$3:$G$501,'Plan prihoda za unos u SAP'!$C$3:$C$501,"=561",'Plan prihoda za unos u SAP'!$K$3:$K$501,"=842")</f>
        <v>0</v>
      </c>
      <c r="L35" s="106">
        <f>SUMIFS('Plan prihoda za unos u SAP'!$G$3:$G$501,'Plan prihoda za unos u SAP'!$C$3:$C$501,"=563",'Plan prihoda za unos u SAP'!$K$3:$K$501,"=842")</f>
        <v>0</v>
      </c>
      <c r="M35" s="106">
        <f>SUMIFS('Plan prihoda za unos u SAP'!$G$3:$G$501,'Plan prihoda za unos u SAP'!$C$3:$C$501,"=61",'Plan prihoda za unos u SAP'!$K$3:$K$501,"=842")</f>
        <v>0</v>
      </c>
      <c r="N35" s="106">
        <f>SUMIFS('Plan prihoda za unos u SAP'!$G$3:$G$501,'Plan prihoda za unos u SAP'!$C$3:$C$501,"=63",'Plan prihoda za unos u SAP'!$K$3:$K$501,"=842")</f>
        <v>0</v>
      </c>
      <c r="O35" s="106">
        <f>SUMIFS('Plan prihoda za unos u SAP'!$G$3:$G$501,'Plan prihoda za unos u SAP'!$C$3:$C$501,"=71",'Plan prihoda za unos u SAP'!$K$3:$K$501,"=842")</f>
        <v>0</v>
      </c>
      <c r="P35" s="106">
        <f>SUMIFS('Plan prihoda za unos u SAP'!$G$3:$G$501,'Plan prihoda za unos u SAP'!$C$3:$C$501,"=81",'Plan prihoda za unos u SAP'!$K$3:$K$501,"=842")</f>
        <v>0</v>
      </c>
    </row>
    <row r="36" spans="1:16" s="82" customFormat="1" ht="13.8">
      <c r="A36" s="108" t="s">
        <v>826</v>
      </c>
      <c r="B36" s="109" t="s">
        <v>810</v>
      </c>
      <c r="C36" s="90">
        <f t="shared" si="0"/>
        <v>0</v>
      </c>
      <c r="D36" s="110">
        <f t="shared" ref="D36:P36" si="6">SUM(D34:D35)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  <c r="I36" s="110">
        <f t="shared" si="6"/>
        <v>0</v>
      </c>
      <c r="J36" s="110">
        <f t="shared" si="6"/>
        <v>0</v>
      </c>
      <c r="K36" s="110">
        <f t="shared" si="6"/>
        <v>0</v>
      </c>
      <c r="L36" s="110">
        <f t="shared" si="6"/>
        <v>0</v>
      </c>
      <c r="M36" s="110">
        <f t="shared" si="6"/>
        <v>0</v>
      </c>
      <c r="N36" s="110">
        <f t="shared" si="6"/>
        <v>0</v>
      </c>
      <c r="O36" s="110">
        <f t="shared" si="6"/>
        <v>0</v>
      </c>
      <c r="P36" s="110">
        <f t="shared" si="6"/>
        <v>0</v>
      </c>
    </row>
    <row r="37" spans="1:16" s="82" customFormat="1" ht="12.75" customHeight="1">
      <c r="A37" s="238" t="s">
        <v>827</v>
      </c>
      <c r="B37" s="238"/>
      <c r="C37" s="114">
        <f t="shared" si="0"/>
        <v>5269293</v>
      </c>
      <c r="D37" s="114">
        <f t="shared" ref="D37:P37" si="7">+D36+D33+D26</f>
        <v>5192993</v>
      </c>
      <c r="E37" s="114">
        <f t="shared" si="7"/>
        <v>0</v>
      </c>
      <c r="F37" s="114">
        <f t="shared" si="7"/>
        <v>12300</v>
      </c>
      <c r="G37" s="114">
        <f t="shared" si="7"/>
        <v>0</v>
      </c>
      <c r="H37" s="114">
        <f t="shared" si="7"/>
        <v>0</v>
      </c>
      <c r="I37" s="114">
        <f t="shared" si="7"/>
        <v>50000</v>
      </c>
      <c r="J37" s="114">
        <f t="shared" si="7"/>
        <v>0</v>
      </c>
      <c r="K37" s="114">
        <f t="shared" si="7"/>
        <v>0</v>
      </c>
      <c r="L37" s="114">
        <f t="shared" si="7"/>
        <v>0</v>
      </c>
      <c r="M37" s="114">
        <f t="shared" si="7"/>
        <v>14000</v>
      </c>
      <c r="N37" s="114">
        <f t="shared" si="7"/>
        <v>0</v>
      </c>
      <c r="O37" s="114">
        <f t="shared" si="7"/>
        <v>0</v>
      </c>
      <c r="P37" s="114">
        <f t="shared" si="7"/>
        <v>0</v>
      </c>
    </row>
    <row r="38" spans="1:16">
      <c r="A38" s="115"/>
      <c r="B38" s="115"/>
      <c r="C38" s="115"/>
      <c r="D38" s="115"/>
      <c r="E38" s="115"/>
      <c r="F38" s="115"/>
      <c r="G38" s="116"/>
      <c r="H38" s="117"/>
      <c r="I38" s="117"/>
      <c r="J38" s="117"/>
      <c r="K38" s="117"/>
      <c r="L38" s="117"/>
      <c r="P38" s="83"/>
    </row>
    <row r="39" spans="1:16" s="82" customFormat="1" ht="15.75" customHeight="1">
      <c r="A39" s="238" t="s">
        <v>759</v>
      </c>
      <c r="B39" s="238"/>
      <c r="C39" s="239" t="s">
        <v>828</v>
      </c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</row>
    <row r="40" spans="1:16" s="82" customFormat="1" ht="96.6">
      <c r="A40" s="85" t="s">
        <v>761</v>
      </c>
      <c r="B40" s="85" t="s">
        <v>762</v>
      </c>
      <c r="C40" s="84" t="s">
        <v>763</v>
      </c>
      <c r="D40" s="86" t="s">
        <v>764</v>
      </c>
      <c r="E40" s="86" t="s">
        <v>765</v>
      </c>
      <c r="F40" s="87" t="s">
        <v>766</v>
      </c>
      <c r="G40" s="87" t="s">
        <v>767</v>
      </c>
      <c r="H40" s="87" t="s">
        <v>768</v>
      </c>
      <c r="I40" s="87" t="s">
        <v>769</v>
      </c>
      <c r="J40" s="87" t="s">
        <v>770</v>
      </c>
      <c r="K40" s="86" t="s">
        <v>771</v>
      </c>
      <c r="L40" s="86" t="s">
        <v>772</v>
      </c>
      <c r="M40" s="87" t="s">
        <v>773</v>
      </c>
      <c r="N40" s="87" t="s">
        <v>774</v>
      </c>
      <c r="O40" s="87" t="s">
        <v>775</v>
      </c>
      <c r="P40" s="87" t="s">
        <v>776</v>
      </c>
    </row>
    <row r="41" spans="1:16" s="82" customFormat="1" ht="13.8">
      <c r="A41" s="88"/>
      <c r="B41" s="89" t="s">
        <v>85</v>
      </c>
      <c r="C41" s="90">
        <f t="shared" ref="C41:C73" si="8">SUM(D41:P41)</f>
        <v>0</v>
      </c>
      <c r="D41" s="118">
        <f t="shared" ref="D41:P41" si="9">-D7</f>
        <v>0</v>
      </c>
      <c r="E41" s="118">
        <f t="shared" si="9"/>
        <v>0</v>
      </c>
      <c r="F41" s="118">
        <f t="shared" si="9"/>
        <v>0</v>
      </c>
      <c r="G41" s="118">
        <f t="shared" si="9"/>
        <v>0</v>
      </c>
      <c r="H41" s="118">
        <f t="shared" si="9"/>
        <v>0</v>
      </c>
      <c r="I41" s="118">
        <f t="shared" si="9"/>
        <v>0</v>
      </c>
      <c r="J41" s="118">
        <f t="shared" si="9"/>
        <v>0</v>
      </c>
      <c r="K41" s="118">
        <f t="shared" si="9"/>
        <v>0</v>
      </c>
      <c r="L41" s="118">
        <f t="shared" si="9"/>
        <v>0</v>
      </c>
      <c r="M41" s="118">
        <f t="shared" si="9"/>
        <v>0</v>
      </c>
      <c r="N41" s="118">
        <f t="shared" si="9"/>
        <v>0</v>
      </c>
      <c r="O41" s="118">
        <f t="shared" si="9"/>
        <v>0</v>
      </c>
      <c r="P41" s="118">
        <f t="shared" si="9"/>
        <v>0</v>
      </c>
    </row>
    <row r="42" spans="1:16" s="82" customFormat="1" ht="13.8">
      <c r="A42" s="92"/>
      <c r="B42" s="93" t="s">
        <v>777</v>
      </c>
      <c r="C42" s="90">
        <f t="shared" si="8"/>
        <v>5562622</v>
      </c>
      <c r="D42" s="94">
        <f t="shared" ref="D42:P42" si="10">+D62+D69</f>
        <v>5482922</v>
      </c>
      <c r="E42" s="94">
        <f t="shared" si="10"/>
        <v>0</v>
      </c>
      <c r="F42" s="94">
        <f t="shared" si="10"/>
        <v>12700</v>
      </c>
      <c r="G42" s="94">
        <f t="shared" si="10"/>
        <v>0</v>
      </c>
      <c r="H42" s="94">
        <f t="shared" si="10"/>
        <v>0</v>
      </c>
      <c r="I42" s="94">
        <f t="shared" si="10"/>
        <v>50000</v>
      </c>
      <c r="J42" s="94">
        <f t="shared" si="10"/>
        <v>0</v>
      </c>
      <c r="K42" s="94">
        <f t="shared" si="10"/>
        <v>0</v>
      </c>
      <c r="L42" s="94">
        <f t="shared" si="10"/>
        <v>0</v>
      </c>
      <c r="M42" s="94">
        <f t="shared" si="10"/>
        <v>17000</v>
      </c>
      <c r="N42" s="94">
        <f t="shared" si="10"/>
        <v>0</v>
      </c>
      <c r="O42" s="94">
        <f t="shared" si="10"/>
        <v>0</v>
      </c>
      <c r="P42" s="94">
        <f t="shared" si="10"/>
        <v>0</v>
      </c>
    </row>
    <row r="43" spans="1:16" s="82" customFormat="1" ht="13.8">
      <c r="A43" s="88"/>
      <c r="B43" s="89" t="s">
        <v>778</v>
      </c>
      <c r="C43" s="90">
        <f t="shared" si="8"/>
        <v>0</v>
      </c>
      <c r="D43" s="95"/>
      <c r="E43" s="95"/>
      <c r="F43" s="95"/>
      <c r="G43" s="95"/>
      <c r="H43" s="95"/>
      <c r="I43" s="95"/>
      <c r="J43" s="91"/>
      <c r="K43" s="95"/>
      <c r="L43" s="95"/>
      <c r="M43" s="95"/>
      <c r="N43" s="95"/>
      <c r="O43" s="95"/>
      <c r="P43" s="95"/>
    </row>
    <row r="44" spans="1:16" s="82" customFormat="1" ht="13.8">
      <c r="A44" s="92"/>
      <c r="B44" s="93" t="s">
        <v>779</v>
      </c>
      <c r="C44" s="90">
        <f t="shared" si="8"/>
        <v>5562622</v>
      </c>
      <c r="D44" s="94">
        <f t="shared" ref="D44:P44" si="11">+D41+D42+D43</f>
        <v>5482922</v>
      </c>
      <c r="E44" s="94">
        <f t="shared" si="11"/>
        <v>0</v>
      </c>
      <c r="F44" s="94">
        <f t="shared" si="11"/>
        <v>12700</v>
      </c>
      <c r="G44" s="94">
        <f t="shared" si="11"/>
        <v>0</v>
      </c>
      <c r="H44" s="94">
        <f t="shared" si="11"/>
        <v>0</v>
      </c>
      <c r="I44" s="94">
        <f t="shared" si="11"/>
        <v>50000</v>
      </c>
      <c r="J44" s="94">
        <f t="shared" si="11"/>
        <v>0</v>
      </c>
      <c r="K44" s="94">
        <f t="shared" si="11"/>
        <v>0</v>
      </c>
      <c r="L44" s="94">
        <f t="shared" si="11"/>
        <v>0</v>
      </c>
      <c r="M44" s="94">
        <f t="shared" si="11"/>
        <v>17000</v>
      </c>
      <c r="N44" s="94">
        <f t="shared" si="11"/>
        <v>0</v>
      </c>
      <c r="O44" s="94">
        <f t="shared" si="11"/>
        <v>0</v>
      </c>
      <c r="P44" s="94">
        <f t="shared" si="11"/>
        <v>0</v>
      </c>
    </row>
    <row r="45" spans="1:16" s="82" customFormat="1" ht="13.8">
      <c r="A45" s="96"/>
      <c r="B45" s="97" t="s">
        <v>780</v>
      </c>
      <c r="C45" s="90">
        <f t="shared" si="8"/>
        <v>5562622</v>
      </c>
      <c r="D45" s="98">
        <f>+'PLAN RASHODA I IZDATAKA'!D71</f>
        <v>5482922</v>
      </c>
      <c r="E45" s="98">
        <f>+'PLAN RASHODA I IZDATAKA'!E71</f>
        <v>0</v>
      </c>
      <c r="F45" s="98">
        <f>+'PLAN RASHODA I IZDATAKA'!F71</f>
        <v>12700</v>
      </c>
      <c r="G45" s="98">
        <f>+'PLAN RASHODA I IZDATAKA'!G71</f>
        <v>0</v>
      </c>
      <c r="H45" s="98">
        <f>+'PLAN RASHODA I IZDATAKA'!H71</f>
        <v>0</v>
      </c>
      <c r="I45" s="98">
        <f>+'PLAN RASHODA I IZDATAKA'!I71</f>
        <v>50000</v>
      </c>
      <c r="J45" s="98">
        <f>+'PLAN RASHODA I IZDATAKA'!J71</f>
        <v>0</v>
      </c>
      <c r="K45" s="98">
        <f>+'PLAN RASHODA I IZDATAKA'!K71</f>
        <v>0</v>
      </c>
      <c r="L45" s="98">
        <f>+'PLAN RASHODA I IZDATAKA'!L71</f>
        <v>0</v>
      </c>
      <c r="M45" s="98">
        <f>+'PLAN RASHODA I IZDATAKA'!M71</f>
        <v>17000</v>
      </c>
      <c r="N45" s="98">
        <f>+'PLAN RASHODA I IZDATAKA'!N71</f>
        <v>0</v>
      </c>
      <c r="O45" s="98">
        <f>+'PLAN RASHODA I IZDATAKA'!O71</f>
        <v>0</v>
      </c>
      <c r="P45" s="98">
        <f>+'PLAN RASHODA I IZDATAKA'!P71</f>
        <v>0</v>
      </c>
    </row>
    <row r="46" spans="1:16" s="82" customFormat="1" ht="13.8">
      <c r="A46" s="99"/>
      <c r="B46" s="100" t="s">
        <v>781</v>
      </c>
      <c r="C46" s="101">
        <f t="shared" si="8"/>
        <v>0</v>
      </c>
      <c r="D46" s="102">
        <f t="shared" ref="D46:P46" si="12">+D44-D45</f>
        <v>0</v>
      </c>
      <c r="E46" s="102">
        <f t="shared" si="12"/>
        <v>0</v>
      </c>
      <c r="F46" s="102">
        <f t="shared" si="12"/>
        <v>0</v>
      </c>
      <c r="G46" s="102">
        <f t="shared" si="12"/>
        <v>0</v>
      </c>
      <c r="H46" s="102">
        <f t="shared" si="12"/>
        <v>0</v>
      </c>
      <c r="I46" s="102">
        <f t="shared" si="12"/>
        <v>0</v>
      </c>
      <c r="J46" s="102">
        <f t="shared" si="12"/>
        <v>0</v>
      </c>
      <c r="K46" s="102">
        <f t="shared" si="12"/>
        <v>0</v>
      </c>
      <c r="L46" s="102">
        <f t="shared" si="12"/>
        <v>0</v>
      </c>
      <c r="M46" s="102">
        <f t="shared" si="12"/>
        <v>0</v>
      </c>
      <c r="N46" s="102">
        <f t="shared" si="12"/>
        <v>0</v>
      </c>
      <c r="O46" s="102">
        <f t="shared" si="12"/>
        <v>0</v>
      </c>
      <c r="P46" s="102">
        <f t="shared" si="12"/>
        <v>0</v>
      </c>
    </row>
    <row r="47" spans="1:16" s="82" customFormat="1" ht="13.8">
      <c r="A47" s="103" t="s">
        <v>782</v>
      </c>
      <c r="B47" s="89" t="s">
        <v>783</v>
      </c>
      <c r="C47" s="90">
        <f t="shared" si="8"/>
        <v>0</v>
      </c>
      <c r="D47" s="106">
        <f>SUMIFS('Plan prihoda za unos u SAP'!$H$3:$H$501,'Plan prihoda za unos u SAP'!$C$3:$C$501,"=11",'Plan prihoda za unos u SAP'!$K$3:$K$501,"=631")</f>
        <v>0</v>
      </c>
      <c r="E47" s="106">
        <f>SUMIFS('Plan prihoda za unos u SAP'!$H$3:$H$501,'Plan prihoda za unos u SAP'!$C$3:$C$501,"=12",'Plan prihoda za unos u SAP'!$K$3:$K$501,"=631")</f>
        <v>0</v>
      </c>
      <c r="F47" s="106">
        <f>SUMIFS('Plan prihoda za unos u SAP'!$H$3:$H$501,'Plan prihoda za unos u SAP'!$C$3:$C$501,"=31",'Plan prihoda za unos u SAP'!$K$3:$K$501,"=631")</f>
        <v>0</v>
      </c>
      <c r="G47" s="106">
        <f>SUMIFS('Plan prihoda za unos u SAP'!$H$3:$H$501,'Plan prihoda za unos u SAP'!$C$3:$C$501,"=43",'Plan prihoda za unos u SAP'!$K$3:$K$501,"=631")</f>
        <v>0</v>
      </c>
      <c r="H47" s="106">
        <f>SUMIFS('Plan prihoda za unos u SAP'!$H$3:$H$501,'Plan prihoda za unos u SAP'!$C$3:$C$501,"=51",'Plan prihoda za unos u SAP'!$K$3:$K$501,"=631")</f>
        <v>0</v>
      </c>
      <c r="I47" s="106">
        <f>SUMIFS('Plan prihoda za unos u SAP'!$H$3:$H$501,'Plan prihoda za unos u SAP'!$C$3:$C$501,"=52",'Plan prihoda za unos u SAP'!$K$3:$K$501,"=631")</f>
        <v>0</v>
      </c>
      <c r="J47" s="106">
        <f>SUMIFS('Plan prihoda za unos u SAP'!$H$3:$H$501,'Plan prihoda za unos u SAP'!$C$3:$C$501,"=559",'Plan prihoda za unos u SAP'!$K$3:$K$501,"=631")</f>
        <v>0</v>
      </c>
      <c r="K47" s="106">
        <f>SUMIFS('Plan prihoda za unos u SAP'!$H$3:$H$501,'Plan prihoda za unos u SAP'!$C$3:$C$501,"=561",'Plan prihoda za unos u SAP'!$K$3:$K$501,"=631")</f>
        <v>0</v>
      </c>
      <c r="L47" s="106">
        <f>SUMIFS('Plan prihoda za unos u SAP'!$H$3:$H$501,'Plan prihoda za unos u SAP'!$C$3:$C$501,"=563",'Plan prihoda za unos u SAP'!$K$3:$K$501,"=631")</f>
        <v>0</v>
      </c>
      <c r="M47" s="106">
        <f>SUMIFS('Plan prihoda za unos u SAP'!$H$3:$H$501,'Plan prihoda za unos u SAP'!$C$3:$C$501,"=61",'Plan prihoda za unos u SAP'!$K$3:$K$501,"=631")</f>
        <v>0</v>
      </c>
      <c r="N47" s="106">
        <f>SUMIFS('Plan prihoda za unos u SAP'!$H$3:$H$501,'Plan prihoda za unos u SAP'!$C$3:$C$501,"=63",'Plan prihoda za unos u SAP'!$K$3:$K$501,"=631")</f>
        <v>0</v>
      </c>
      <c r="O47" s="106">
        <f>SUMIFS('Plan prihoda za unos u SAP'!$H$3:$H$501,'Plan prihoda za unos u SAP'!$C$3:$C$501,"=71",'Plan prihoda za unos u SAP'!$K$3:$K$501,"=631")</f>
        <v>0</v>
      </c>
      <c r="P47" s="106">
        <f>SUMIFS('Plan prihoda za unos u SAP'!$H$3:$H$501,'Plan prihoda za unos u SAP'!$C$3:$C$501,"=81",'Plan prihoda za unos u SAP'!$K$3:$K$501,"=631")</f>
        <v>0</v>
      </c>
    </row>
    <row r="48" spans="1:16" s="82" customFormat="1" ht="13.8">
      <c r="A48" s="88" t="s">
        <v>784</v>
      </c>
      <c r="B48" s="89" t="s">
        <v>785</v>
      </c>
      <c r="C48" s="90">
        <f t="shared" si="8"/>
        <v>0</v>
      </c>
      <c r="D48" s="106">
        <f>SUMIFS('Plan prihoda za unos u SAP'!$H$3:$H$501,'Plan prihoda za unos u SAP'!$C$3:$C$501,"=11",'Plan prihoda za unos u SAP'!$K$3:$K$501,"=632")</f>
        <v>0</v>
      </c>
      <c r="E48" s="106">
        <f>SUMIFS('Plan prihoda za unos u SAP'!$H$3:$H$501,'Plan prihoda za unos u SAP'!$C$3:$C$501,"=12",'Plan prihoda za unos u SAP'!$K$3:$K$501,"=632")</f>
        <v>0</v>
      </c>
      <c r="F48" s="106">
        <f>SUMIFS('Plan prihoda za unos u SAP'!$H$3:$H$501,'Plan prihoda za unos u SAP'!$C$3:$C$501,"=31",'Plan prihoda za unos u SAP'!$K$3:$K$501,"=632")</f>
        <v>0</v>
      </c>
      <c r="G48" s="106">
        <f>SUMIFS('Plan prihoda za unos u SAP'!$H$3:$H$501,'Plan prihoda za unos u SAP'!$C$3:$C$501,"=43",'Plan prihoda za unos u SAP'!$K$3:$K$501,"=632")</f>
        <v>0</v>
      </c>
      <c r="H48" s="106">
        <f>SUMIFS('Plan prihoda za unos u SAP'!$H$3:$H$501,'Plan prihoda za unos u SAP'!$C$3:$C$501,"=51",'Plan prihoda za unos u SAP'!$K$3:$K$501,"=632")</f>
        <v>0</v>
      </c>
      <c r="I48" s="106">
        <f>SUMIFS('Plan prihoda za unos u SAP'!$H$3:$H$501,'Plan prihoda za unos u SAP'!$C$3:$C$501,"=52",'Plan prihoda za unos u SAP'!$K$3:$K$501,"=632")</f>
        <v>0</v>
      </c>
      <c r="J48" s="106">
        <f>SUMIFS('Plan prihoda za unos u SAP'!$H$3:$H$501,'Plan prihoda za unos u SAP'!$C$3:$C$501,"=559",'Plan prihoda za unos u SAP'!$K$3:$K$501,"=632")</f>
        <v>0</v>
      </c>
      <c r="K48" s="106">
        <f>SUMIFS('Plan prihoda za unos u SAP'!$H$3:$H$501,'Plan prihoda za unos u SAP'!$C$3:$C$501,"=561",'Plan prihoda za unos u SAP'!$K$3:$K$501,"=632")</f>
        <v>0</v>
      </c>
      <c r="L48" s="106">
        <f>SUMIFS('Plan prihoda za unos u SAP'!$H$3:$H$501,'Plan prihoda za unos u SAP'!$C$3:$C$501,"=563",'Plan prihoda za unos u SAP'!$K$3:$K$501,"=632")</f>
        <v>0</v>
      </c>
      <c r="M48" s="106">
        <f>SUMIFS('Plan prihoda za unos u SAP'!$H$3:$H$501,'Plan prihoda za unos u SAP'!$C$3:$C$501,"=61",'Plan prihoda za unos u SAP'!$K$3:$K$501,"=632")</f>
        <v>0</v>
      </c>
      <c r="N48" s="106">
        <f>SUMIFS('Plan prihoda za unos u SAP'!$H$3:$H$501,'Plan prihoda za unos u SAP'!$C$3:$C$501,"=63",'Plan prihoda za unos u SAP'!$K$3:$K$501,"=632")</f>
        <v>0</v>
      </c>
      <c r="O48" s="106">
        <f>SUMIFS('Plan prihoda za unos u SAP'!$H$3:$H$501,'Plan prihoda za unos u SAP'!$C$3:$C$501,"=71",'Plan prihoda za unos u SAP'!$K$3:$K$501,"=632")</f>
        <v>0</v>
      </c>
      <c r="P48" s="106">
        <f>SUMIFS('Plan prihoda za unos u SAP'!$H$3:$H$501,'Plan prihoda za unos u SAP'!$C$3:$C$501,"=81",'Plan prihoda za unos u SAP'!$K$3:$K$501,"=632")</f>
        <v>0</v>
      </c>
    </row>
    <row r="49" spans="1:16" s="82" customFormat="1" ht="13.8">
      <c r="A49" s="88" t="s">
        <v>786</v>
      </c>
      <c r="B49" s="89" t="s">
        <v>787</v>
      </c>
      <c r="C49" s="90">
        <f t="shared" si="8"/>
        <v>0</v>
      </c>
      <c r="D49" s="106">
        <f>SUMIFS('Plan prihoda za unos u SAP'!$H$3:$H$501,'Plan prihoda za unos u SAP'!$C$3:$C$501,"=11",'Plan prihoda za unos u SAP'!$K$3:$K$501,"=634")</f>
        <v>0</v>
      </c>
      <c r="E49" s="106">
        <f>SUMIFS('Plan prihoda za unos u SAP'!$H$3:$H$501,'Plan prihoda za unos u SAP'!$C$3:$C$501,"=12",'Plan prihoda za unos u SAP'!$K$3:$K$501,"=634")</f>
        <v>0</v>
      </c>
      <c r="F49" s="106">
        <f>SUMIFS('Plan prihoda za unos u SAP'!$H$3:$H$501,'Plan prihoda za unos u SAP'!$C$3:$C$501,"=31",'Plan prihoda za unos u SAP'!$K$3:$K$501,"=634")</f>
        <v>0</v>
      </c>
      <c r="G49" s="106">
        <f>SUMIFS('Plan prihoda za unos u SAP'!$H$3:$H$501,'Plan prihoda za unos u SAP'!$C$3:$C$501,"=43",'Plan prihoda za unos u SAP'!$K$3:$K$501,"=634")</f>
        <v>0</v>
      </c>
      <c r="H49" s="106">
        <f>SUMIFS('Plan prihoda za unos u SAP'!$H$3:$H$501,'Plan prihoda za unos u SAP'!$C$3:$C$501,"=51",'Plan prihoda za unos u SAP'!$K$3:$K$501,"=634")</f>
        <v>0</v>
      </c>
      <c r="I49" s="106">
        <f>SUMIFS('Plan prihoda za unos u SAP'!$H$3:$H$501,'Plan prihoda za unos u SAP'!$C$3:$C$501,"=52",'Plan prihoda za unos u SAP'!$K$3:$K$501,"=634")</f>
        <v>0</v>
      </c>
      <c r="J49" s="106">
        <f>SUMIFS('Plan prihoda za unos u SAP'!$H$3:$H$501,'Plan prihoda za unos u SAP'!$C$3:$C$501,"=559",'Plan prihoda za unos u SAP'!$K$3:$K$501,"=634")</f>
        <v>0</v>
      </c>
      <c r="K49" s="106">
        <f>SUMIFS('Plan prihoda za unos u SAP'!$H$3:$H$501,'Plan prihoda za unos u SAP'!$C$3:$C$501,"=561",'Plan prihoda za unos u SAP'!$K$3:$K$501,"=634")</f>
        <v>0</v>
      </c>
      <c r="L49" s="106">
        <f>SUMIFS('Plan prihoda za unos u SAP'!$H$3:$H$501,'Plan prihoda za unos u SAP'!$C$3:$C$501,"=563",'Plan prihoda za unos u SAP'!$K$3:$K$501,"=634")</f>
        <v>0</v>
      </c>
      <c r="M49" s="106">
        <f>SUMIFS('Plan prihoda za unos u SAP'!$H$3:$H$501,'Plan prihoda za unos u SAP'!$C$3:$C$501,"=61",'Plan prihoda za unos u SAP'!$K$3:$K$501,"=634")</f>
        <v>0</v>
      </c>
      <c r="N49" s="106">
        <f>SUMIFS('Plan prihoda za unos u SAP'!$H$3:$H$501,'Plan prihoda za unos u SAP'!$C$3:$C$501,"=63",'Plan prihoda za unos u SAP'!$K$3:$K$501,"=634")</f>
        <v>0</v>
      </c>
      <c r="O49" s="106">
        <f>SUMIFS('Plan prihoda za unos u SAP'!$H$3:$H$501,'Plan prihoda za unos u SAP'!$C$3:$C$501,"=71",'Plan prihoda za unos u SAP'!$K$3:$K$501,"=634")</f>
        <v>0</v>
      </c>
      <c r="P49" s="106">
        <f>SUMIFS('Plan prihoda za unos u SAP'!$H$3:$H$501,'Plan prihoda za unos u SAP'!$C$3:$C$501,"=81",'Plan prihoda za unos u SAP'!$K$3:$K$501,"=634")</f>
        <v>0</v>
      </c>
    </row>
    <row r="50" spans="1:16" s="82" customFormat="1" ht="13.8">
      <c r="A50" s="107" t="s">
        <v>788</v>
      </c>
      <c r="B50" s="89" t="s">
        <v>469</v>
      </c>
      <c r="C50" s="90">
        <f t="shared" si="8"/>
        <v>0</v>
      </c>
      <c r="D50" s="106">
        <f>SUMIFS('Plan prihoda za unos u SAP'!$H$3:$H$501,'Plan prihoda za unos u SAP'!$C$3:$C$501,"=11",'Plan prihoda za unos u SAP'!$K$3:$K$501,"=636")</f>
        <v>0</v>
      </c>
      <c r="E50" s="106">
        <f>SUMIFS('Plan prihoda za unos u SAP'!$H$3:$H$501,'Plan prihoda za unos u SAP'!$C$3:$C$501,"=12",'Plan prihoda za unos u SAP'!$K$3:$K$501,"=636")</f>
        <v>0</v>
      </c>
      <c r="F50" s="106">
        <f>SUMIFS('Plan prihoda za unos u SAP'!$H$3:$H$501,'Plan prihoda za unos u SAP'!$C$3:$C$501,"=31",'Plan prihoda za unos u SAP'!$K$3:$K$501,"=636")</f>
        <v>0</v>
      </c>
      <c r="G50" s="106">
        <f>SUMIFS('Plan prihoda za unos u SAP'!$H$3:$H$501,'Plan prihoda za unos u SAP'!$C$3:$C$501,"=43",'Plan prihoda za unos u SAP'!$K$3:$K$501,"=636")</f>
        <v>0</v>
      </c>
      <c r="H50" s="106">
        <f>SUMIFS('Plan prihoda za unos u SAP'!$H$3:$H$501,'Plan prihoda za unos u SAP'!$C$3:$C$501,"=51",'Plan prihoda za unos u SAP'!$K$3:$K$501,"=636")</f>
        <v>0</v>
      </c>
      <c r="I50" s="106">
        <f>SUMIFS('Plan prihoda za unos u SAP'!$H$3:$H$501,'Plan prihoda za unos u SAP'!$C$3:$C$501,"=52",'Plan prihoda za unos u SAP'!$K$3:$K$501,"=636")</f>
        <v>0</v>
      </c>
      <c r="J50" s="106">
        <f>SUMIFS('Plan prihoda za unos u SAP'!$H$3:$H$501,'Plan prihoda za unos u SAP'!$C$3:$C$501,"=559",'Plan prihoda za unos u SAP'!$K$3:$K$501,"=636")</f>
        <v>0</v>
      </c>
      <c r="K50" s="106">
        <f>SUMIFS('Plan prihoda za unos u SAP'!$H$3:$H$501,'Plan prihoda za unos u SAP'!$C$3:$C$501,"=561",'Plan prihoda za unos u SAP'!$K$3:$K$501,"=636")</f>
        <v>0</v>
      </c>
      <c r="L50" s="106">
        <f>SUMIFS('Plan prihoda za unos u SAP'!$H$3:$H$501,'Plan prihoda za unos u SAP'!$C$3:$C$501,"=563",'Plan prihoda za unos u SAP'!$K$3:$K$501,"=636")</f>
        <v>0</v>
      </c>
      <c r="M50" s="106">
        <f>SUMIFS('Plan prihoda za unos u SAP'!$H$3:$H$501,'Plan prihoda za unos u SAP'!$C$3:$C$501,"=61",'Plan prihoda za unos u SAP'!$K$3:$K$501,"=636")</f>
        <v>0</v>
      </c>
      <c r="N50" s="106">
        <f>SUMIFS('Plan prihoda za unos u SAP'!$H$3:$H$501,'Plan prihoda za unos u SAP'!$C$3:$C$501,"=63",'Plan prihoda za unos u SAP'!$K$3:$K$501,"=636")</f>
        <v>0</v>
      </c>
      <c r="O50" s="106">
        <f>SUMIFS('Plan prihoda za unos u SAP'!$H$3:$H$501,'Plan prihoda za unos u SAP'!$C$3:$C$501,"=71",'Plan prihoda za unos u SAP'!$K$3:$K$501,"=636")</f>
        <v>0</v>
      </c>
      <c r="P50" s="106">
        <f>SUMIFS('Plan prihoda za unos u SAP'!$H$3:$H$501,'Plan prihoda za unos u SAP'!$C$3:$C$501,"=81",'Plan prihoda za unos u SAP'!$K$3:$K$501,"=636")</f>
        <v>0</v>
      </c>
    </row>
    <row r="51" spans="1:16" s="82" customFormat="1" ht="13.8">
      <c r="A51" s="88" t="s">
        <v>789</v>
      </c>
      <c r="B51" s="89" t="s">
        <v>790</v>
      </c>
      <c r="C51" s="90">
        <f t="shared" si="8"/>
        <v>0</v>
      </c>
      <c r="D51" s="106">
        <f>SUMIFS('Plan prihoda za unos u SAP'!$H$3:$H$501,'Plan prihoda za unos u SAP'!$C$3:$C$501,"=11",'Plan prihoda za unos u SAP'!$K$3:$K$501,"=638")</f>
        <v>0</v>
      </c>
      <c r="E51" s="106">
        <f>SUMIFS('Plan prihoda za unos u SAP'!$H$3:$H$501,'Plan prihoda za unos u SAP'!$C$3:$C$501,"=12",'Plan prihoda za unos u SAP'!$K$3:$K$501,"=638")</f>
        <v>0</v>
      </c>
      <c r="F51" s="106">
        <f>SUMIFS('Plan prihoda za unos u SAP'!$H$3:$H$501,'Plan prihoda za unos u SAP'!$C$3:$C$501,"=31",'Plan prihoda za unos u SAP'!$K$3:$K$501,"=638")</f>
        <v>0</v>
      </c>
      <c r="G51" s="106">
        <f>SUMIFS('Plan prihoda za unos u SAP'!$H$3:$H$501,'Plan prihoda za unos u SAP'!$C$3:$C$501,"=43",'Plan prihoda za unos u SAP'!$K$3:$K$501,"=638")</f>
        <v>0</v>
      </c>
      <c r="H51" s="106">
        <f>SUMIFS('Plan prihoda za unos u SAP'!$H$3:$H$501,'Plan prihoda za unos u SAP'!$C$3:$C$501,"=51",'Plan prihoda za unos u SAP'!$K$3:$K$501,"=638")</f>
        <v>0</v>
      </c>
      <c r="I51" s="106">
        <f>SUMIFS('Plan prihoda za unos u SAP'!$H$3:$H$501,'Plan prihoda za unos u SAP'!$C$3:$C$501,"=52",'Plan prihoda za unos u SAP'!$K$3:$K$501,"=638")</f>
        <v>0</v>
      </c>
      <c r="J51" s="106">
        <f>SUMIFS('Plan prihoda za unos u SAP'!$H$3:$H$501,'Plan prihoda za unos u SAP'!$C$3:$C$501,"=559",'Plan prihoda za unos u SAP'!$K$3:$K$501,"=638")</f>
        <v>0</v>
      </c>
      <c r="K51" s="106">
        <f>SUMIFS('Plan prihoda za unos u SAP'!$H$3:$H$501,'Plan prihoda za unos u SAP'!$C$3:$C$501,"=561",'Plan prihoda za unos u SAP'!$K$3:$K$501,"=638")</f>
        <v>0</v>
      </c>
      <c r="L51" s="106">
        <f>SUMIFS('Plan prihoda za unos u SAP'!$H$3:$H$501,'Plan prihoda za unos u SAP'!$C$3:$C$501,"=563",'Plan prihoda za unos u SAP'!$K$3:$K$501,"=638")</f>
        <v>0</v>
      </c>
      <c r="M51" s="106">
        <f>SUMIFS('Plan prihoda za unos u SAP'!$H$3:$H$501,'Plan prihoda za unos u SAP'!$C$3:$C$501,"=61",'Plan prihoda za unos u SAP'!$K$3:$K$501,"=638")</f>
        <v>0</v>
      </c>
      <c r="N51" s="106">
        <f>SUMIFS('Plan prihoda za unos u SAP'!$H$3:$H$501,'Plan prihoda za unos u SAP'!$C$3:$C$501,"=63",'Plan prihoda za unos u SAP'!$K$3:$K$501,"=638")</f>
        <v>0</v>
      </c>
      <c r="O51" s="106">
        <f>SUMIFS('Plan prihoda za unos u SAP'!$H$3:$H$501,'Plan prihoda za unos u SAP'!$C$3:$C$501,"=71",'Plan prihoda za unos u SAP'!$K$3:$K$501,"=638")</f>
        <v>0</v>
      </c>
      <c r="P51" s="106">
        <f>SUMIFS('Plan prihoda za unos u SAP'!$H$3:$H$501,'Plan prihoda za unos u SAP'!$C$3:$C$501,"=81",'Plan prihoda za unos u SAP'!$K$3:$K$501,"=638")</f>
        <v>0</v>
      </c>
    </row>
    <row r="52" spans="1:16" s="82" customFormat="1" ht="13.8">
      <c r="A52" s="88" t="s">
        <v>791</v>
      </c>
      <c r="B52" s="89" t="s">
        <v>792</v>
      </c>
      <c r="C52" s="90">
        <f t="shared" si="8"/>
        <v>50000</v>
      </c>
      <c r="D52" s="106">
        <f>SUMIFS('Plan prihoda za unos u SAP'!$H$3:$H$501,'Plan prihoda za unos u SAP'!$C$3:$C$501,"=11",'Plan prihoda za unos u SAP'!$K$3:$K$501,"=639")</f>
        <v>0</v>
      </c>
      <c r="E52" s="106">
        <f>SUMIFS('Plan prihoda za unos u SAP'!$H$3:$H$501,'Plan prihoda za unos u SAP'!$C$3:$C$501,"=12",'Plan prihoda za unos u SAP'!$K$3:$K$501,"=639")</f>
        <v>0</v>
      </c>
      <c r="F52" s="106">
        <f>SUMIFS('Plan prihoda za unos u SAP'!$H$3:$H$501,'Plan prihoda za unos u SAP'!$C$3:$C$501,"=31",'Plan prihoda za unos u SAP'!$K$3:$K$501,"=639")</f>
        <v>0</v>
      </c>
      <c r="G52" s="106">
        <f>SUMIFS('Plan prihoda za unos u SAP'!$H$3:$H$501,'Plan prihoda za unos u SAP'!$C$3:$C$501,"=43",'Plan prihoda za unos u SAP'!$K$3:$K$501,"=639")</f>
        <v>0</v>
      </c>
      <c r="H52" s="106">
        <f>SUMIFS('Plan prihoda za unos u SAP'!$H$3:$H$501,'Plan prihoda za unos u SAP'!$C$3:$C$501,"=51",'Plan prihoda za unos u SAP'!$K$3:$K$501,"=639")</f>
        <v>0</v>
      </c>
      <c r="I52" s="106">
        <f>SUMIFS('Plan prihoda za unos u SAP'!$H$3:$H$501,'Plan prihoda za unos u SAP'!$C$3:$C$501,"=52",'Plan prihoda za unos u SAP'!$K$3:$K$501,"=639")</f>
        <v>50000</v>
      </c>
      <c r="J52" s="106">
        <f>SUMIFS('Plan prihoda za unos u SAP'!$H$3:$H$501,'Plan prihoda za unos u SAP'!$C$3:$C$501,"=559",'Plan prihoda za unos u SAP'!$K$3:$K$501,"=639")</f>
        <v>0</v>
      </c>
      <c r="K52" s="106">
        <f>SUMIFS('Plan prihoda za unos u SAP'!$H$3:$H$501,'Plan prihoda za unos u SAP'!$C$3:$C$501,"=561",'Plan prihoda za unos u SAP'!$K$3:$K$501,"=639")</f>
        <v>0</v>
      </c>
      <c r="L52" s="106">
        <f>SUMIFS('Plan prihoda za unos u SAP'!$H$3:$H$501,'Plan prihoda za unos u SAP'!$C$3:$C$501,"=563",'Plan prihoda za unos u SAP'!$K$3:$K$501,"=639")</f>
        <v>0</v>
      </c>
      <c r="M52" s="106">
        <f>SUMIFS('Plan prihoda za unos u SAP'!$H$3:$H$501,'Plan prihoda za unos u SAP'!$C$3:$C$501,"=61",'Plan prihoda za unos u SAP'!$K$3:$K$501,"=639")</f>
        <v>0</v>
      </c>
      <c r="N52" s="106">
        <f>SUMIFS('Plan prihoda za unos u SAP'!$H$3:$H$501,'Plan prihoda za unos u SAP'!$C$3:$C$501,"=63",'Plan prihoda za unos u SAP'!$K$3:$K$501,"=639")</f>
        <v>0</v>
      </c>
      <c r="O52" s="106">
        <f>SUMIFS('Plan prihoda za unos u SAP'!$H$3:$H$501,'Plan prihoda za unos u SAP'!$C$3:$C$501,"=71",'Plan prihoda za unos u SAP'!$K$3:$K$501,"=639")</f>
        <v>0</v>
      </c>
      <c r="P52" s="106">
        <f>SUMIFS('Plan prihoda za unos u SAP'!$H$3:$H$501,'Plan prihoda za unos u SAP'!$C$3:$C$501,"=81",'Plan prihoda za unos u SAP'!$K$3:$K$501,"=639")</f>
        <v>0</v>
      </c>
    </row>
    <row r="53" spans="1:16" s="82" customFormat="1" ht="13.8">
      <c r="A53" s="88" t="s">
        <v>793</v>
      </c>
      <c r="B53" s="89" t="s">
        <v>794</v>
      </c>
      <c r="C53" s="90">
        <f t="shared" si="8"/>
        <v>300</v>
      </c>
      <c r="D53" s="106">
        <f>SUMIFS('Plan prihoda za unos u SAP'!$H$3:$H$501,'Plan prihoda za unos u SAP'!$C$3:$C$501,"=11",'Plan prihoda za unos u SAP'!$K$3:$K$501,"=641")</f>
        <v>0</v>
      </c>
      <c r="E53" s="106">
        <f>SUMIFS('Plan prihoda za unos u SAP'!$H$3:$H$501,'Plan prihoda za unos u SAP'!$C$3:$C$501,"=12",'Plan prihoda za unos u SAP'!$K$3:$K$501,"=641")</f>
        <v>0</v>
      </c>
      <c r="F53" s="106">
        <f>SUMIFS('Plan prihoda za unos u SAP'!$H$3:$H$501,'Plan prihoda za unos u SAP'!$C$3:$C$501,"=31",'Plan prihoda za unos u SAP'!$K$3:$K$501,"=641")</f>
        <v>300</v>
      </c>
      <c r="G53" s="106">
        <f>SUMIFS('Plan prihoda za unos u SAP'!$H$3:$H$501,'Plan prihoda za unos u SAP'!$C$3:$C$501,"=43",'Plan prihoda za unos u SAP'!$K$3:$K$501,"=641")</f>
        <v>0</v>
      </c>
      <c r="H53" s="106">
        <f>SUMIFS('Plan prihoda za unos u SAP'!$H$3:$H$501,'Plan prihoda za unos u SAP'!$C$3:$C$501,"=51",'Plan prihoda za unos u SAP'!$K$3:$K$501,"=641")</f>
        <v>0</v>
      </c>
      <c r="I53" s="106">
        <f>SUMIFS('Plan prihoda za unos u SAP'!$H$3:$H$501,'Plan prihoda za unos u SAP'!$C$3:$C$501,"=52",'Plan prihoda za unos u SAP'!$K$3:$K$501,"=641")</f>
        <v>0</v>
      </c>
      <c r="J53" s="106">
        <f>SUMIFS('Plan prihoda za unos u SAP'!$H$3:$H$501,'Plan prihoda za unos u SAP'!$C$3:$C$501,"=559",'Plan prihoda za unos u SAP'!$K$3:$K$501,"=641")</f>
        <v>0</v>
      </c>
      <c r="K53" s="106">
        <f>SUMIFS('Plan prihoda za unos u SAP'!$H$3:$H$501,'Plan prihoda za unos u SAP'!$C$3:$C$501,"=561",'Plan prihoda za unos u SAP'!$K$3:$K$501,"=641")</f>
        <v>0</v>
      </c>
      <c r="L53" s="106">
        <f>SUMIFS('Plan prihoda za unos u SAP'!$H$3:$H$501,'Plan prihoda za unos u SAP'!$C$3:$C$501,"=563",'Plan prihoda za unos u SAP'!$K$3:$K$501,"=641")</f>
        <v>0</v>
      </c>
      <c r="M53" s="106">
        <f>SUMIFS('Plan prihoda za unos u SAP'!$H$3:$H$501,'Plan prihoda za unos u SAP'!$C$3:$C$501,"=61",'Plan prihoda za unos u SAP'!$K$3:$K$501,"=641")</f>
        <v>0</v>
      </c>
      <c r="N53" s="106">
        <f>SUMIFS('Plan prihoda za unos u SAP'!$H$3:$H$501,'Plan prihoda za unos u SAP'!$C$3:$C$501,"=63",'Plan prihoda za unos u SAP'!$K$3:$K$501,"=641")</f>
        <v>0</v>
      </c>
      <c r="O53" s="106">
        <f>SUMIFS('Plan prihoda za unos u SAP'!$H$3:$H$501,'Plan prihoda za unos u SAP'!$C$3:$C$501,"=71",'Plan prihoda za unos u SAP'!$K$3:$K$501,"=641")</f>
        <v>0</v>
      </c>
      <c r="P53" s="106">
        <f>SUMIFS('Plan prihoda za unos u SAP'!$H$3:$H$501,'Plan prihoda za unos u SAP'!$C$3:$C$501,"=81",'Plan prihoda za unos u SAP'!$K$3:$K$501,"=641")</f>
        <v>0</v>
      </c>
    </row>
    <row r="54" spans="1:16" s="82" customFormat="1" ht="13.8">
      <c r="A54" s="88" t="s">
        <v>795</v>
      </c>
      <c r="B54" s="89" t="s">
        <v>796</v>
      </c>
      <c r="C54" s="90">
        <f t="shared" si="8"/>
        <v>0</v>
      </c>
      <c r="D54" s="106">
        <f>SUMIFS('Plan prihoda za unos u SAP'!$H$3:$H$501,'Plan prihoda za unos u SAP'!$C$3:$C$501,"=11",'Plan prihoda za unos u SAP'!$K$3:$K$501,"=642")</f>
        <v>0</v>
      </c>
      <c r="E54" s="106">
        <f>SUMIFS('Plan prihoda za unos u SAP'!$H$3:$H$501,'Plan prihoda za unos u SAP'!$C$3:$C$501,"=12",'Plan prihoda za unos u SAP'!$K$3:$K$501,"=642")</f>
        <v>0</v>
      </c>
      <c r="F54" s="106">
        <f>SUMIFS('Plan prihoda za unos u SAP'!$H$3:$H$501,'Plan prihoda za unos u SAP'!$C$3:$C$501,"=31",'Plan prihoda za unos u SAP'!$K$3:$K$501,"=642")</f>
        <v>0</v>
      </c>
      <c r="G54" s="106">
        <f>SUMIFS('Plan prihoda za unos u SAP'!$H$3:$H$501,'Plan prihoda za unos u SAP'!$C$3:$C$501,"=43",'Plan prihoda za unos u SAP'!$K$3:$K$501,"=642")</f>
        <v>0</v>
      </c>
      <c r="H54" s="106">
        <f>SUMIFS('Plan prihoda za unos u SAP'!$H$3:$H$501,'Plan prihoda za unos u SAP'!$C$3:$C$501,"=51",'Plan prihoda za unos u SAP'!$K$3:$K$501,"=642")</f>
        <v>0</v>
      </c>
      <c r="I54" s="106">
        <f>SUMIFS('Plan prihoda za unos u SAP'!$H$3:$H$501,'Plan prihoda za unos u SAP'!$C$3:$C$501,"=52",'Plan prihoda za unos u SAP'!$K$3:$K$501,"=642")</f>
        <v>0</v>
      </c>
      <c r="J54" s="106">
        <f>SUMIFS('Plan prihoda za unos u SAP'!$H$3:$H$501,'Plan prihoda za unos u SAP'!$C$3:$C$501,"=559",'Plan prihoda za unos u SAP'!$K$3:$K$501,"=642")</f>
        <v>0</v>
      </c>
      <c r="K54" s="106">
        <f>SUMIFS('Plan prihoda za unos u SAP'!$H$3:$H$501,'Plan prihoda za unos u SAP'!$C$3:$C$501,"=561",'Plan prihoda za unos u SAP'!$K$3:$K$501,"=642")</f>
        <v>0</v>
      </c>
      <c r="L54" s="106">
        <f>SUMIFS('Plan prihoda za unos u SAP'!$H$3:$H$501,'Plan prihoda za unos u SAP'!$C$3:$C$501,"=563",'Plan prihoda za unos u SAP'!$K$3:$K$501,"=642")</f>
        <v>0</v>
      </c>
      <c r="M54" s="106">
        <f>SUMIFS('Plan prihoda za unos u SAP'!$H$3:$H$501,'Plan prihoda za unos u SAP'!$C$3:$C$501,"=61",'Plan prihoda za unos u SAP'!$K$3:$K$501,"=642")</f>
        <v>0</v>
      </c>
      <c r="N54" s="106">
        <f>SUMIFS('Plan prihoda za unos u SAP'!$H$3:$H$501,'Plan prihoda za unos u SAP'!$C$3:$C$501,"=63",'Plan prihoda za unos u SAP'!$K$3:$K$501,"=642")</f>
        <v>0</v>
      </c>
      <c r="O54" s="106">
        <f>SUMIFS('Plan prihoda za unos u SAP'!$H$3:$H$501,'Plan prihoda za unos u SAP'!$C$3:$C$501,"=71",'Plan prihoda za unos u SAP'!$K$3:$K$501,"=642")</f>
        <v>0</v>
      </c>
      <c r="P54" s="106">
        <f>SUMIFS('Plan prihoda za unos u SAP'!$H$3:$H$501,'Plan prihoda za unos u SAP'!$C$3:$C$501,"=81",'Plan prihoda za unos u SAP'!$K$3:$K$501,"=642")</f>
        <v>0</v>
      </c>
    </row>
    <row r="55" spans="1:16" s="82" customFormat="1" ht="13.8">
      <c r="A55" s="107" t="s">
        <v>797</v>
      </c>
      <c r="B55" s="89" t="s">
        <v>472</v>
      </c>
      <c r="C55" s="90">
        <f t="shared" si="8"/>
        <v>0</v>
      </c>
      <c r="D55" s="106">
        <f>SUMIFS('Plan prihoda za unos u SAP'!$H$3:$H$501,'Plan prihoda za unos u SAP'!$C$3:$C$501,"=11",'Plan prihoda za unos u SAP'!$K$3:$K$501,"=651")</f>
        <v>0</v>
      </c>
      <c r="E55" s="106">
        <f>SUMIFS('Plan prihoda za unos u SAP'!$H$3:$H$501,'Plan prihoda za unos u SAP'!$C$3:$C$501,"=12",'Plan prihoda za unos u SAP'!$K$3:$K$501,"=651")</f>
        <v>0</v>
      </c>
      <c r="F55" s="106">
        <f>SUMIFS('Plan prihoda za unos u SAP'!$H$3:$H$501,'Plan prihoda za unos u SAP'!$C$3:$C$501,"=31",'Plan prihoda za unos u SAP'!$K$3:$K$501,"=651")</f>
        <v>0</v>
      </c>
      <c r="G55" s="106">
        <f>SUMIFS('Plan prihoda za unos u SAP'!$H$3:$H$501,'Plan prihoda za unos u SAP'!$C$3:$C$501,"=43",'Plan prihoda za unos u SAP'!$K$3:$K$501,"=651")</f>
        <v>0</v>
      </c>
      <c r="H55" s="106">
        <f>SUMIFS('Plan prihoda za unos u SAP'!$H$3:$H$501,'Plan prihoda za unos u SAP'!$C$3:$C$501,"=51",'Plan prihoda za unos u SAP'!$K$3:$K$501,"=651")</f>
        <v>0</v>
      </c>
      <c r="I55" s="106">
        <f>SUMIFS('Plan prihoda za unos u SAP'!$H$3:$H$501,'Plan prihoda za unos u SAP'!$C$3:$C$501,"=52",'Plan prihoda za unos u SAP'!$K$3:$K$501,"=651")</f>
        <v>0</v>
      </c>
      <c r="J55" s="106">
        <f>SUMIFS('Plan prihoda za unos u SAP'!$H$3:$H$501,'Plan prihoda za unos u SAP'!$C$3:$C$501,"=559",'Plan prihoda za unos u SAP'!$K$3:$K$501,"=651")</f>
        <v>0</v>
      </c>
      <c r="K55" s="106">
        <f>SUMIFS('Plan prihoda za unos u SAP'!$H$3:$H$501,'Plan prihoda za unos u SAP'!$C$3:$C$501,"=561",'Plan prihoda za unos u SAP'!$K$3:$K$501,"=651")</f>
        <v>0</v>
      </c>
      <c r="L55" s="106">
        <f>SUMIFS('Plan prihoda za unos u SAP'!$H$3:$H$501,'Plan prihoda za unos u SAP'!$C$3:$C$501,"=563",'Plan prihoda za unos u SAP'!$K$3:$K$501,"=651")</f>
        <v>0</v>
      </c>
      <c r="M55" s="106">
        <f>SUMIFS('Plan prihoda za unos u SAP'!$H$3:$H$501,'Plan prihoda za unos u SAP'!$C$3:$C$501,"=61",'Plan prihoda za unos u SAP'!$K$3:$K$501,"=651")</f>
        <v>0</v>
      </c>
      <c r="N55" s="106">
        <f>SUMIFS('Plan prihoda za unos u SAP'!$H$3:$H$501,'Plan prihoda za unos u SAP'!$C$3:$C$501,"=63",'Plan prihoda za unos u SAP'!$K$3:$K$501,"=651")</f>
        <v>0</v>
      </c>
      <c r="O55" s="106">
        <f>SUMIFS('Plan prihoda za unos u SAP'!$H$3:$H$501,'Plan prihoda za unos u SAP'!$C$3:$C$501,"=71",'Plan prihoda za unos u SAP'!$K$3:$K$501,"=651")</f>
        <v>0</v>
      </c>
      <c r="P55" s="106">
        <f>SUMIFS('Plan prihoda za unos u SAP'!$H$3:$H$501,'Plan prihoda za unos u SAP'!$C$3:$C$501,"=81",'Plan prihoda za unos u SAP'!$K$3:$K$501,"=651")</f>
        <v>0</v>
      </c>
    </row>
    <row r="56" spans="1:16" s="82" customFormat="1" ht="13.8">
      <c r="A56" s="88" t="s">
        <v>798</v>
      </c>
      <c r="B56" s="89" t="s">
        <v>799</v>
      </c>
      <c r="C56" s="90">
        <f t="shared" si="8"/>
        <v>0</v>
      </c>
      <c r="D56" s="106">
        <f>SUMIFS('Plan prihoda za unos u SAP'!$H$3:$H$501,'Plan prihoda za unos u SAP'!$C$3:$C$501,"=11",'Plan prihoda za unos u SAP'!$K$3:$K$501,"=652")</f>
        <v>0</v>
      </c>
      <c r="E56" s="106">
        <f>SUMIFS('Plan prihoda za unos u SAP'!$H$3:$H$501,'Plan prihoda za unos u SAP'!$C$3:$C$501,"=12",'Plan prihoda za unos u SAP'!$K$3:$K$501,"=652")</f>
        <v>0</v>
      </c>
      <c r="F56" s="106">
        <f>SUMIFS('Plan prihoda za unos u SAP'!$H$3:$H$501,'Plan prihoda za unos u SAP'!$C$3:$C$501,"=31",'Plan prihoda za unos u SAP'!$K$3:$K$501,"=652")</f>
        <v>0</v>
      </c>
      <c r="G56" s="106">
        <f>SUMIFS('Plan prihoda za unos u SAP'!$H$3:$H$501,'Plan prihoda za unos u SAP'!$C$3:$C$501,"=43",'Plan prihoda za unos u SAP'!$K$3:$K$501,"=652")</f>
        <v>0</v>
      </c>
      <c r="H56" s="106">
        <f>SUMIFS('Plan prihoda za unos u SAP'!$H$3:$H$501,'Plan prihoda za unos u SAP'!$C$3:$C$501,"=51",'Plan prihoda za unos u SAP'!$K$3:$K$501,"=652")</f>
        <v>0</v>
      </c>
      <c r="I56" s="106">
        <f>SUMIFS('Plan prihoda za unos u SAP'!$H$3:$H$501,'Plan prihoda za unos u SAP'!$C$3:$C$501,"=52",'Plan prihoda za unos u SAP'!$K$3:$K$501,"=652")</f>
        <v>0</v>
      </c>
      <c r="J56" s="106">
        <f>SUMIFS('Plan prihoda za unos u SAP'!$H$3:$H$501,'Plan prihoda za unos u SAP'!$C$3:$C$501,"=559",'Plan prihoda za unos u SAP'!$K$3:$K$501,"=652")</f>
        <v>0</v>
      </c>
      <c r="K56" s="106">
        <f>SUMIFS('Plan prihoda za unos u SAP'!$H$3:$H$501,'Plan prihoda za unos u SAP'!$C$3:$C$501,"=561",'Plan prihoda za unos u SAP'!$K$3:$K$501,"=652")</f>
        <v>0</v>
      </c>
      <c r="L56" s="106">
        <f>SUMIFS('Plan prihoda za unos u SAP'!$H$3:$H$501,'Plan prihoda za unos u SAP'!$C$3:$C$501,"=563",'Plan prihoda za unos u SAP'!$K$3:$K$501,"=652")</f>
        <v>0</v>
      </c>
      <c r="M56" s="106">
        <f>SUMIFS('Plan prihoda za unos u SAP'!$H$3:$H$501,'Plan prihoda za unos u SAP'!$C$3:$C$501,"=61",'Plan prihoda za unos u SAP'!$K$3:$K$501,"=652")</f>
        <v>0</v>
      </c>
      <c r="N56" s="106">
        <f>SUMIFS('Plan prihoda za unos u SAP'!$H$3:$H$501,'Plan prihoda za unos u SAP'!$C$3:$C$501,"=63",'Plan prihoda za unos u SAP'!$K$3:$K$501,"=652")</f>
        <v>0</v>
      </c>
      <c r="O56" s="106">
        <f>SUMIFS('Plan prihoda za unos u SAP'!$H$3:$H$501,'Plan prihoda za unos u SAP'!$C$3:$C$501,"=71",'Plan prihoda za unos u SAP'!$K$3:$K$501,"=652")</f>
        <v>0</v>
      </c>
      <c r="P56" s="106">
        <f>SUMIFS('Plan prihoda za unos u SAP'!$H$3:$H$501,'Plan prihoda za unos u SAP'!$C$3:$C$501,"=81",'Plan prihoda za unos u SAP'!$K$3:$K$501,"=652")</f>
        <v>0</v>
      </c>
    </row>
    <row r="57" spans="1:16" s="82" customFormat="1" ht="13.8">
      <c r="A57" s="88" t="s">
        <v>800</v>
      </c>
      <c r="B57" s="89" t="s">
        <v>801</v>
      </c>
      <c r="C57" s="90">
        <f t="shared" si="8"/>
        <v>12400</v>
      </c>
      <c r="D57" s="106">
        <f>SUMIFS('Plan prihoda za unos u SAP'!$H$3:$H$501,'Plan prihoda za unos u SAP'!$C$3:$C$501,"=11",'Plan prihoda za unos u SAP'!$K$3:$K$501,"=661")</f>
        <v>0</v>
      </c>
      <c r="E57" s="106">
        <f>SUMIFS('Plan prihoda za unos u SAP'!$H$3:$H$501,'Plan prihoda za unos u SAP'!$C$3:$C$501,"=12",'Plan prihoda za unos u SAP'!$K$3:$K$501,"=661")</f>
        <v>0</v>
      </c>
      <c r="F57" s="106">
        <f>SUMIFS('Plan prihoda za unos u SAP'!$H$3:$H$501,'Plan prihoda za unos u SAP'!$C$3:$C$501,"=31",'Plan prihoda za unos u SAP'!$K$3:$K$501,"=661")</f>
        <v>12400</v>
      </c>
      <c r="G57" s="106">
        <f>SUMIFS('Plan prihoda za unos u SAP'!$H$3:$H$501,'Plan prihoda za unos u SAP'!$C$3:$C$501,"=43",'Plan prihoda za unos u SAP'!$K$3:$K$501,"=661")</f>
        <v>0</v>
      </c>
      <c r="H57" s="106">
        <f>SUMIFS('Plan prihoda za unos u SAP'!$H$3:$H$501,'Plan prihoda za unos u SAP'!$C$3:$C$501,"=51",'Plan prihoda za unos u SAP'!$K$3:$K$501,"=661")</f>
        <v>0</v>
      </c>
      <c r="I57" s="106">
        <f>SUMIFS('Plan prihoda za unos u SAP'!$H$3:$H$501,'Plan prihoda za unos u SAP'!$C$3:$C$501,"=52",'Plan prihoda za unos u SAP'!$K$3:$K$501,"=661")</f>
        <v>0</v>
      </c>
      <c r="J57" s="106">
        <f>SUMIFS('Plan prihoda za unos u SAP'!$H$3:$H$501,'Plan prihoda za unos u SAP'!$C$3:$C$501,"=559",'Plan prihoda za unos u SAP'!$K$3:$K$501,"=661")</f>
        <v>0</v>
      </c>
      <c r="K57" s="106">
        <f>SUMIFS('Plan prihoda za unos u SAP'!$H$3:$H$501,'Plan prihoda za unos u SAP'!$C$3:$C$501,"=561",'Plan prihoda za unos u SAP'!$K$3:$K$501,"=661")</f>
        <v>0</v>
      </c>
      <c r="L57" s="106">
        <f>SUMIFS('Plan prihoda za unos u SAP'!$H$3:$H$501,'Plan prihoda za unos u SAP'!$C$3:$C$501,"=563",'Plan prihoda za unos u SAP'!$K$3:$K$501,"=661")</f>
        <v>0</v>
      </c>
      <c r="M57" s="106">
        <f>SUMIFS('Plan prihoda za unos u SAP'!$H$3:$H$501,'Plan prihoda za unos u SAP'!$C$3:$C$501,"=61",'Plan prihoda za unos u SAP'!$K$3:$K$501,"=661")</f>
        <v>0</v>
      </c>
      <c r="N57" s="106">
        <f>SUMIFS('Plan prihoda za unos u SAP'!$H$3:$H$501,'Plan prihoda za unos u SAP'!$C$3:$C$501,"=63",'Plan prihoda za unos u SAP'!$K$3:$K$501,"=661")</f>
        <v>0</v>
      </c>
      <c r="O57" s="106">
        <f>SUMIFS('Plan prihoda za unos u SAP'!$H$3:$H$501,'Plan prihoda za unos u SAP'!$C$3:$C$501,"=71",'Plan prihoda za unos u SAP'!$K$3:$K$501,"=661")</f>
        <v>0</v>
      </c>
      <c r="P57" s="106">
        <f>SUMIFS('Plan prihoda za unos u SAP'!$H$3:$H$501,'Plan prihoda za unos u SAP'!$C$3:$C$501,"=81",'Plan prihoda za unos u SAP'!$K$3:$K$501,"=661")</f>
        <v>0</v>
      </c>
    </row>
    <row r="58" spans="1:16" s="82" customFormat="1" ht="13.8">
      <c r="A58" s="88" t="s">
        <v>802</v>
      </c>
      <c r="B58" s="89" t="s">
        <v>803</v>
      </c>
      <c r="C58" s="90">
        <f t="shared" si="8"/>
        <v>17000</v>
      </c>
      <c r="D58" s="106">
        <f>SUMIFS('Plan prihoda za unos u SAP'!$H$3:$H$501,'Plan prihoda za unos u SAP'!$C$3:$C$501,"=11",'Plan prihoda za unos u SAP'!$K$3:$K$501,"=663")</f>
        <v>0</v>
      </c>
      <c r="E58" s="106">
        <f>SUMIFS('Plan prihoda za unos u SAP'!$H$3:$H$501,'Plan prihoda za unos u SAP'!$C$3:$C$501,"=12",'Plan prihoda za unos u SAP'!$K$3:$K$501,"=663")</f>
        <v>0</v>
      </c>
      <c r="F58" s="106">
        <f>SUMIFS('Plan prihoda za unos u SAP'!$H$3:$H$501,'Plan prihoda za unos u SAP'!$C$3:$C$501,"=31",'Plan prihoda za unos u SAP'!$K$3:$K$501,"=663")</f>
        <v>0</v>
      </c>
      <c r="G58" s="106">
        <f>SUMIFS('Plan prihoda za unos u SAP'!$H$3:$H$501,'Plan prihoda za unos u SAP'!$C$3:$C$501,"=43",'Plan prihoda za unos u SAP'!$K$3:$K$501,"=663")</f>
        <v>0</v>
      </c>
      <c r="H58" s="106">
        <f>SUMIFS('Plan prihoda za unos u SAP'!$H$3:$H$501,'Plan prihoda za unos u SAP'!$C$3:$C$501,"=51",'Plan prihoda za unos u SAP'!$K$3:$K$501,"=663")</f>
        <v>0</v>
      </c>
      <c r="I58" s="106">
        <f>SUMIFS('Plan prihoda za unos u SAP'!$H$3:$H$501,'Plan prihoda za unos u SAP'!$C$3:$C$501,"=52",'Plan prihoda za unos u SAP'!$K$3:$K$501,"=663")</f>
        <v>0</v>
      </c>
      <c r="J58" s="106">
        <f>SUMIFS('Plan prihoda za unos u SAP'!$H$3:$H$501,'Plan prihoda za unos u SAP'!$C$3:$C$501,"=559",'Plan prihoda za unos u SAP'!$K$3:$K$501,"=663")</f>
        <v>0</v>
      </c>
      <c r="K58" s="106">
        <f>SUMIFS('Plan prihoda za unos u SAP'!$H$3:$H$501,'Plan prihoda za unos u SAP'!$C$3:$C$501,"=561",'Plan prihoda za unos u SAP'!$K$3:$K$501,"=663")</f>
        <v>0</v>
      </c>
      <c r="L58" s="106">
        <f>SUMIFS('Plan prihoda za unos u SAP'!$H$3:$H$501,'Plan prihoda za unos u SAP'!$C$3:$C$501,"=563",'Plan prihoda za unos u SAP'!$K$3:$K$501,"=663")</f>
        <v>0</v>
      </c>
      <c r="M58" s="106">
        <f>SUMIFS('Plan prihoda za unos u SAP'!$H$3:$H$501,'Plan prihoda za unos u SAP'!$C$3:$C$501,"=61",'Plan prihoda za unos u SAP'!$K$3:$K$501,"=663")</f>
        <v>17000</v>
      </c>
      <c r="N58" s="106">
        <f>SUMIFS('Plan prihoda za unos u SAP'!$H$3:$H$501,'Plan prihoda za unos u SAP'!$C$3:$C$501,"=63",'Plan prihoda za unos u SAP'!$K$3:$K$501,"=663")</f>
        <v>0</v>
      </c>
      <c r="O58" s="106">
        <f>SUMIFS('Plan prihoda za unos u SAP'!$H$3:$H$501,'Plan prihoda za unos u SAP'!$C$3:$C$501,"=71",'Plan prihoda za unos u SAP'!$K$3:$K$501,"=663")</f>
        <v>0</v>
      </c>
      <c r="P58" s="106">
        <f>SUMIFS('Plan prihoda za unos u SAP'!$H$3:$H$501,'Plan prihoda za unos u SAP'!$C$3:$C$501,"=81",'Plan prihoda za unos u SAP'!$K$3:$K$501,"=663")</f>
        <v>0</v>
      </c>
    </row>
    <row r="59" spans="1:16" s="82" customFormat="1" ht="27.6">
      <c r="A59" s="88" t="s">
        <v>804</v>
      </c>
      <c r="B59" s="89" t="s">
        <v>466</v>
      </c>
      <c r="C59" s="90">
        <f t="shared" si="8"/>
        <v>5482922</v>
      </c>
      <c r="D59" s="106">
        <f>SUMIFS('Plan prihoda za unos u SAP'!$H$3:$H$501,'Plan prihoda za unos u SAP'!$C$3:$C$501,"=11",'Plan prihoda za unos u SAP'!$K$3:$K$501,"=671")</f>
        <v>5482922</v>
      </c>
      <c r="E59" s="106">
        <f>SUMIFS('Plan prihoda za unos u SAP'!$H$3:$H$501,'Plan prihoda za unos u SAP'!$C$3:$C$501,"=12",'Plan prihoda za unos u SAP'!$K$3:$K$501,"=671")</f>
        <v>0</v>
      </c>
      <c r="F59" s="106">
        <f>SUMIFS('Plan prihoda za unos u SAP'!$H$3:$H$501,'Plan prihoda za unos u SAP'!$C$3:$C$501,"=31",'Plan prihoda za unos u SAP'!$K$3:$K$501,"=671")</f>
        <v>0</v>
      </c>
      <c r="G59" s="106">
        <f>SUMIFS('Plan prihoda za unos u SAP'!$H$3:$H$501,'Plan prihoda za unos u SAP'!$C$3:$C$501,"=43",'Plan prihoda za unos u SAP'!$K$3:$K$501,"=671")</f>
        <v>0</v>
      </c>
      <c r="H59" s="106">
        <f>SUMIFS('Plan prihoda za unos u SAP'!$H$3:$H$501,'Plan prihoda za unos u SAP'!$C$3:$C$501,"=51",'Plan prihoda za unos u SAP'!$K$3:$K$501,"=671")</f>
        <v>0</v>
      </c>
      <c r="I59" s="106">
        <f>SUMIFS('Plan prihoda za unos u SAP'!$H$3:$H$501,'Plan prihoda za unos u SAP'!$C$3:$C$501,"=52",'Plan prihoda za unos u SAP'!$K$3:$K$501,"=671")</f>
        <v>0</v>
      </c>
      <c r="J59" s="106">
        <f>SUMIFS('Plan prihoda za unos u SAP'!$H$3:$H$501,'Plan prihoda za unos u SAP'!$C$3:$C$501,"=559",'Plan prihoda za unos u SAP'!$K$3:$K$501,"=671")</f>
        <v>0</v>
      </c>
      <c r="K59" s="106">
        <f>SUMIFS('Plan prihoda za unos u SAP'!$H$3:$H$501,'Plan prihoda za unos u SAP'!$C$3:$C$501,"=561",'Plan prihoda za unos u SAP'!$K$3:$K$501,"=671")</f>
        <v>0</v>
      </c>
      <c r="L59" s="106">
        <f>SUMIFS('Plan prihoda za unos u SAP'!$H$3:$H$501,'Plan prihoda za unos u SAP'!$C$3:$C$501,"=563",'Plan prihoda za unos u SAP'!$K$3:$K$501,"=671")</f>
        <v>0</v>
      </c>
      <c r="M59" s="106">
        <f>SUMIFS('Plan prihoda za unos u SAP'!$H$3:$H$501,'Plan prihoda za unos u SAP'!$C$3:$C$501,"=61",'Plan prihoda za unos u SAP'!$K$3:$K$501,"=671")</f>
        <v>0</v>
      </c>
      <c r="N59" s="106">
        <f>SUMIFS('Plan prihoda za unos u SAP'!$H$3:$H$501,'Plan prihoda za unos u SAP'!$C$3:$C$501,"=63",'Plan prihoda za unos u SAP'!$K$3:$K$501,"=671")</f>
        <v>0</v>
      </c>
      <c r="O59" s="106">
        <f>SUMIFS('Plan prihoda za unos u SAP'!$H$3:$H$501,'Plan prihoda za unos u SAP'!$C$3:$C$501,"=71",'Plan prihoda za unos u SAP'!$K$3:$K$501,"=671")</f>
        <v>0</v>
      </c>
      <c r="P59" s="106">
        <f>SUMIFS('Plan prihoda za unos u SAP'!$H$3:$H$501,'Plan prihoda za unos u SAP'!$C$3:$C$501,"=81",'Plan prihoda za unos u SAP'!$K$3:$K$501,"=671")</f>
        <v>0</v>
      </c>
    </row>
    <row r="60" spans="1:16" s="82" customFormat="1" ht="13.8">
      <c r="A60" s="88" t="s">
        <v>805</v>
      </c>
      <c r="B60" s="89" t="s">
        <v>806</v>
      </c>
      <c r="C60" s="90">
        <f t="shared" si="8"/>
        <v>0</v>
      </c>
      <c r="D60" s="106">
        <f>SUMIFS('Plan prihoda za unos u SAP'!$H$3:$H$501,'Plan prihoda za unos u SAP'!$C$3:$C$501,"=11",'Plan prihoda za unos u SAP'!$K$3:$K$501,"=681")</f>
        <v>0</v>
      </c>
      <c r="E60" s="106">
        <f>SUMIFS('Plan prihoda za unos u SAP'!$H$3:$H$501,'Plan prihoda za unos u SAP'!$C$3:$C$501,"=12",'Plan prihoda za unos u SAP'!$K$3:$K$501,"=681")</f>
        <v>0</v>
      </c>
      <c r="F60" s="106">
        <f>SUMIFS('Plan prihoda za unos u SAP'!$H$3:$H$501,'Plan prihoda za unos u SAP'!$C$3:$C$501,"=31",'Plan prihoda za unos u SAP'!$K$3:$K$501,"=681")</f>
        <v>0</v>
      </c>
      <c r="G60" s="106">
        <f>SUMIFS('Plan prihoda za unos u SAP'!$H$3:$H$501,'Plan prihoda za unos u SAP'!$C$3:$C$501,"=43",'Plan prihoda za unos u SAP'!$K$3:$K$501,"=681")</f>
        <v>0</v>
      </c>
      <c r="H60" s="106">
        <f>SUMIFS('Plan prihoda za unos u SAP'!$H$3:$H$501,'Plan prihoda za unos u SAP'!$C$3:$C$501,"=51",'Plan prihoda za unos u SAP'!$K$3:$K$501,"=681")</f>
        <v>0</v>
      </c>
      <c r="I60" s="106">
        <f>SUMIFS('Plan prihoda za unos u SAP'!$H$3:$H$501,'Plan prihoda za unos u SAP'!$C$3:$C$501,"=52",'Plan prihoda za unos u SAP'!$K$3:$K$501,"=681")</f>
        <v>0</v>
      </c>
      <c r="J60" s="106">
        <f>SUMIFS('Plan prihoda za unos u SAP'!$H$3:$H$501,'Plan prihoda za unos u SAP'!$C$3:$C$501,"=559",'Plan prihoda za unos u SAP'!$K$3:$K$501,"=681")</f>
        <v>0</v>
      </c>
      <c r="K60" s="106">
        <f>SUMIFS('Plan prihoda za unos u SAP'!$H$3:$H$501,'Plan prihoda za unos u SAP'!$C$3:$C$501,"=561",'Plan prihoda za unos u SAP'!$K$3:$K$501,"=681")</f>
        <v>0</v>
      </c>
      <c r="L60" s="106">
        <f>SUMIFS('Plan prihoda za unos u SAP'!$H$3:$H$501,'Plan prihoda za unos u SAP'!$C$3:$C$501,"=563",'Plan prihoda za unos u SAP'!$K$3:$K$501,"=681")</f>
        <v>0</v>
      </c>
      <c r="M60" s="106">
        <f>SUMIFS('Plan prihoda za unos u SAP'!$H$3:$H$501,'Plan prihoda za unos u SAP'!$C$3:$C$501,"=61",'Plan prihoda za unos u SAP'!$K$3:$K$501,"=681")</f>
        <v>0</v>
      </c>
      <c r="N60" s="106">
        <f>SUMIFS('Plan prihoda za unos u SAP'!$H$3:$H$501,'Plan prihoda za unos u SAP'!$C$3:$C$501,"=63",'Plan prihoda za unos u SAP'!$K$3:$K$501,"=681")</f>
        <v>0</v>
      </c>
      <c r="O60" s="106">
        <f>SUMIFS('Plan prihoda za unos u SAP'!$H$3:$H$501,'Plan prihoda za unos u SAP'!$C$3:$C$501,"=71",'Plan prihoda za unos u SAP'!$K$3:$K$501,"=681")</f>
        <v>0</v>
      </c>
      <c r="P60" s="106">
        <f>SUMIFS('Plan prihoda za unos u SAP'!$H$3:$H$501,'Plan prihoda za unos u SAP'!$C$3:$C$501,"=81",'Plan prihoda za unos u SAP'!$K$3:$K$501,"=681")</f>
        <v>0</v>
      </c>
    </row>
    <row r="61" spans="1:16" s="82" customFormat="1" ht="13.8">
      <c r="A61" s="88" t="s">
        <v>807</v>
      </c>
      <c r="B61" s="89" t="s">
        <v>808</v>
      </c>
      <c r="C61" s="90">
        <f t="shared" si="8"/>
        <v>0</v>
      </c>
      <c r="D61" s="106">
        <f>SUMIFS('Plan prihoda za unos u SAP'!$H$3:$H$501,'Plan prihoda za unos u SAP'!$C$3:$C$501,"=11",'Plan prihoda za unos u SAP'!$K$3:$K$501,"=683")</f>
        <v>0</v>
      </c>
      <c r="E61" s="106">
        <f>SUMIFS('Plan prihoda za unos u SAP'!$H$3:$H$501,'Plan prihoda za unos u SAP'!$C$3:$C$501,"=12",'Plan prihoda za unos u SAP'!$K$3:$K$501,"=683")</f>
        <v>0</v>
      </c>
      <c r="F61" s="106">
        <f>SUMIFS('Plan prihoda za unos u SAP'!$H$3:$H$501,'Plan prihoda za unos u SAP'!$C$3:$C$501,"=31",'Plan prihoda za unos u SAP'!$K$3:$K$501,"=683")</f>
        <v>0</v>
      </c>
      <c r="G61" s="106">
        <f>SUMIFS('Plan prihoda za unos u SAP'!$H$3:$H$501,'Plan prihoda za unos u SAP'!$C$3:$C$501,"=43",'Plan prihoda za unos u SAP'!$K$3:$K$501,"=683")</f>
        <v>0</v>
      </c>
      <c r="H61" s="106">
        <f>SUMIFS('Plan prihoda za unos u SAP'!$H$3:$H$501,'Plan prihoda za unos u SAP'!$C$3:$C$501,"=51",'Plan prihoda za unos u SAP'!$K$3:$K$501,"=683")</f>
        <v>0</v>
      </c>
      <c r="I61" s="106">
        <f>SUMIFS('Plan prihoda za unos u SAP'!$H$3:$H$501,'Plan prihoda za unos u SAP'!$C$3:$C$501,"=52",'Plan prihoda za unos u SAP'!$K$3:$K$501,"=683")</f>
        <v>0</v>
      </c>
      <c r="J61" s="106">
        <f>SUMIFS('Plan prihoda za unos u SAP'!$H$3:$H$501,'Plan prihoda za unos u SAP'!$C$3:$C$501,"=559",'Plan prihoda za unos u SAP'!$K$3:$K$501,"=683")</f>
        <v>0</v>
      </c>
      <c r="K61" s="106">
        <f>SUMIFS('Plan prihoda za unos u SAP'!$H$3:$H$501,'Plan prihoda za unos u SAP'!$C$3:$C$501,"=561",'Plan prihoda za unos u SAP'!$K$3:$K$501,"=683")</f>
        <v>0</v>
      </c>
      <c r="L61" s="106">
        <f>SUMIFS('Plan prihoda za unos u SAP'!$H$3:$H$501,'Plan prihoda za unos u SAP'!$C$3:$C$501,"=563",'Plan prihoda za unos u SAP'!$K$3:$K$501,"=683")</f>
        <v>0</v>
      </c>
      <c r="M61" s="106">
        <f>SUMIFS('Plan prihoda za unos u SAP'!$H$3:$H$501,'Plan prihoda za unos u SAP'!$C$3:$C$501,"=61",'Plan prihoda za unos u SAP'!$K$3:$K$501,"=683")</f>
        <v>0</v>
      </c>
      <c r="N61" s="106">
        <f>SUMIFS('Plan prihoda za unos u SAP'!$H$3:$H$501,'Plan prihoda za unos u SAP'!$C$3:$C$501,"=63",'Plan prihoda za unos u SAP'!$K$3:$K$501,"=683")</f>
        <v>0</v>
      </c>
      <c r="O61" s="106">
        <f>SUMIFS('Plan prihoda za unos u SAP'!$H$3:$H$501,'Plan prihoda za unos u SAP'!$C$3:$C$501,"=71",'Plan prihoda za unos u SAP'!$K$3:$K$501,"=683")</f>
        <v>0</v>
      </c>
      <c r="P61" s="106">
        <f>SUMIFS('Plan prihoda za unos u SAP'!$H$3:$H$501,'Plan prihoda za unos u SAP'!$C$3:$C$501,"=81",'Plan prihoda za unos u SAP'!$K$3:$K$501,"=683")</f>
        <v>0</v>
      </c>
    </row>
    <row r="62" spans="1:16" s="82" customFormat="1" ht="13.8">
      <c r="A62" s="108" t="s">
        <v>809</v>
      </c>
      <c r="B62" s="109" t="s">
        <v>810</v>
      </c>
      <c r="C62" s="90">
        <f t="shared" si="8"/>
        <v>5562622</v>
      </c>
      <c r="D62" s="110">
        <f t="shared" ref="D62:P62" si="13">SUM(D47:D61)</f>
        <v>5482922</v>
      </c>
      <c r="E62" s="110">
        <f t="shared" si="13"/>
        <v>0</v>
      </c>
      <c r="F62" s="110">
        <f t="shared" si="13"/>
        <v>12700</v>
      </c>
      <c r="G62" s="110">
        <f t="shared" si="13"/>
        <v>0</v>
      </c>
      <c r="H62" s="110">
        <f t="shared" si="13"/>
        <v>0</v>
      </c>
      <c r="I62" s="110">
        <f t="shared" si="13"/>
        <v>50000</v>
      </c>
      <c r="J62" s="110">
        <f t="shared" si="13"/>
        <v>0</v>
      </c>
      <c r="K62" s="110">
        <f t="shared" si="13"/>
        <v>0</v>
      </c>
      <c r="L62" s="110">
        <f t="shared" si="13"/>
        <v>0</v>
      </c>
      <c r="M62" s="110">
        <f t="shared" si="13"/>
        <v>17000</v>
      </c>
      <c r="N62" s="110">
        <f t="shared" si="13"/>
        <v>0</v>
      </c>
      <c r="O62" s="110">
        <f t="shared" si="13"/>
        <v>0</v>
      </c>
      <c r="P62" s="110">
        <f t="shared" si="13"/>
        <v>0</v>
      </c>
    </row>
    <row r="63" spans="1:16" s="82" customFormat="1" ht="13.8">
      <c r="A63" s="88" t="s">
        <v>811</v>
      </c>
      <c r="B63" s="111" t="s">
        <v>812</v>
      </c>
      <c r="C63" s="90">
        <f t="shared" si="8"/>
        <v>0</v>
      </c>
      <c r="D63" s="106">
        <f>SUMIFS('Plan prihoda za unos u SAP'!$H$3:$H$501,'Plan prihoda za unos u SAP'!$C$3:$C$501,"=11",'Plan prihoda za unos u SAP'!$K$3:$K$501,"=711")</f>
        <v>0</v>
      </c>
      <c r="E63" s="106">
        <f>SUMIFS('Plan prihoda za unos u SAP'!$H$3:$H$501,'Plan prihoda za unos u SAP'!$C$3:$C$501,"=12",'Plan prihoda za unos u SAP'!$K$3:$K$501,"=711")</f>
        <v>0</v>
      </c>
      <c r="F63" s="106">
        <f>SUMIFS('Plan prihoda za unos u SAP'!$H$3:$H$501,'Plan prihoda za unos u SAP'!$C$3:$C$501,"=31",'Plan prihoda za unos u SAP'!$K$3:$K$501,"=711")</f>
        <v>0</v>
      </c>
      <c r="G63" s="106">
        <f>SUMIFS('Plan prihoda za unos u SAP'!$H$3:$H$501,'Plan prihoda za unos u SAP'!$C$3:$C$501,"=43",'Plan prihoda za unos u SAP'!$K$3:$K$501,"=711")</f>
        <v>0</v>
      </c>
      <c r="H63" s="106">
        <f>SUMIFS('Plan prihoda za unos u SAP'!$H$3:$H$501,'Plan prihoda za unos u SAP'!$C$3:$C$501,"=51",'Plan prihoda za unos u SAP'!$K$3:$K$501,"=711")</f>
        <v>0</v>
      </c>
      <c r="I63" s="106">
        <f>SUMIFS('Plan prihoda za unos u SAP'!$H$3:$H$501,'Plan prihoda za unos u SAP'!$C$3:$C$501,"=52",'Plan prihoda za unos u SAP'!$K$3:$K$501,"=711")</f>
        <v>0</v>
      </c>
      <c r="J63" s="106">
        <f>SUMIFS('Plan prihoda za unos u SAP'!$H$3:$H$501,'Plan prihoda za unos u SAP'!$C$3:$C$501,"=559",'Plan prihoda za unos u SAP'!$K$3:$K$501,"=711")</f>
        <v>0</v>
      </c>
      <c r="K63" s="106">
        <f>SUMIFS('Plan prihoda za unos u SAP'!$H$3:$H$501,'Plan prihoda za unos u SAP'!$C$3:$C$501,"=561",'Plan prihoda za unos u SAP'!$K$3:$K$501,"=711")</f>
        <v>0</v>
      </c>
      <c r="L63" s="106">
        <f>SUMIFS('Plan prihoda za unos u SAP'!$H$3:$H$501,'Plan prihoda za unos u SAP'!$C$3:$C$501,"=563",'Plan prihoda za unos u SAP'!$K$3:$K$501,"=711")</f>
        <v>0</v>
      </c>
      <c r="M63" s="106">
        <f>SUMIFS('Plan prihoda za unos u SAP'!$H$3:$H$501,'Plan prihoda za unos u SAP'!$C$3:$C$501,"=61",'Plan prihoda za unos u SAP'!$K$3:$K$501,"=711")</f>
        <v>0</v>
      </c>
      <c r="N63" s="106">
        <f>SUMIFS('Plan prihoda za unos u SAP'!$H$3:$H$501,'Plan prihoda za unos u SAP'!$C$3:$C$501,"=63",'Plan prihoda za unos u SAP'!$K$3:$K$501,"=711")</f>
        <v>0</v>
      </c>
      <c r="O63" s="106">
        <f>SUMIFS('Plan prihoda za unos u SAP'!$H$3:$H$501,'Plan prihoda za unos u SAP'!$C$3:$C$501,"=71",'Plan prihoda za unos u SAP'!$K$3:$K$501,"=711")</f>
        <v>0</v>
      </c>
      <c r="P63" s="106">
        <f>SUMIFS('Plan prihoda za unos u SAP'!$H$3:$H$501,'Plan prihoda za unos u SAP'!$C$3:$C$501,"=81",'Plan prihoda za unos u SAP'!$K$3:$K$501,"=711")</f>
        <v>0</v>
      </c>
    </row>
    <row r="64" spans="1:16" s="82" customFormat="1" ht="13.8">
      <c r="A64" s="88" t="s">
        <v>813</v>
      </c>
      <c r="B64" s="111" t="s">
        <v>814</v>
      </c>
      <c r="C64" s="90">
        <f t="shared" si="8"/>
        <v>0</v>
      </c>
      <c r="D64" s="106">
        <f>SUMIFS('Plan prihoda za unos u SAP'!$H$3:$H$501,'Plan prihoda za unos u SAP'!$C$3:$C$501,"=11",'Plan prihoda za unos u SAP'!$K$3:$K$501,"=712")</f>
        <v>0</v>
      </c>
      <c r="E64" s="106">
        <f>SUMIFS('Plan prihoda za unos u SAP'!$H$3:$H$501,'Plan prihoda za unos u SAP'!$C$3:$C$501,"=12",'Plan prihoda za unos u SAP'!$K$3:$K$501,"=712")</f>
        <v>0</v>
      </c>
      <c r="F64" s="106">
        <f>SUMIFS('Plan prihoda za unos u SAP'!$H$3:$H$501,'Plan prihoda za unos u SAP'!$C$3:$C$501,"=31",'Plan prihoda za unos u SAP'!$K$3:$K$501,"=712")</f>
        <v>0</v>
      </c>
      <c r="G64" s="106">
        <f>SUMIFS('Plan prihoda za unos u SAP'!$H$3:$H$501,'Plan prihoda za unos u SAP'!$C$3:$C$501,"=43",'Plan prihoda za unos u SAP'!$K$3:$K$501,"=712")</f>
        <v>0</v>
      </c>
      <c r="H64" s="106">
        <f>SUMIFS('Plan prihoda za unos u SAP'!$H$3:$H$501,'Plan prihoda za unos u SAP'!$C$3:$C$501,"=51",'Plan prihoda za unos u SAP'!$K$3:$K$501,"=712")</f>
        <v>0</v>
      </c>
      <c r="I64" s="106">
        <f>SUMIFS('Plan prihoda za unos u SAP'!$H$3:$H$501,'Plan prihoda za unos u SAP'!$C$3:$C$501,"=52",'Plan prihoda za unos u SAP'!$K$3:$K$501,"=712")</f>
        <v>0</v>
      </c>
      <c r="J64" s="106">
        <f>SUMIFS('Plan prihoda za unos u SAP'!$H$3:$H$501,'Plan prihoda za unos u SAP'!$C$3:$C$501,"=559",'Plan prihoda za unos u SAP'!$K$3:$K$501,"=712")</f>
        <v>0</v>
      </c>
      <c r="K64" s="106">
        <f>SUMIFS('Plan prihoda za unos u SAP'!$H$3:$H$501,'Plan prihoda za unos u SAP'!$C$3:$C$501,"=561",'Plan prihoda za unos u SAP'!$K$3:$K$501,"=712")</f>
        <v>0</v>
      </c>
      <c r="L64" s="106">
        <f>SUMIFS('Plan prihoda za unos u SAP'!$H$3:$H$501,'Plan prihoda za unos u SAP'!$C$3:$C$501,"=563",'Plan prihoda za unos u SAP'!$K$3:$K$501,"=712")</f>
        <v>0</v>
      </c>
      <c r="M64" s="106">
        <f>SUMIFS('Plan prihoda za unos u SAP'!$H$3:$H$501,'Plan prihoda za unos u SAP'!$C$3:$C$501,"=61",'Plan prihoda za unos u SAP'!$K$3:$K$501,"=712")</f>
        <v>0</v>
      </c>
      <c r="N64" s="106">
        <f>SUMIFS('Plan prihoda za unos u SAP'!$H$3:$H$501,'Plan prihoda za unos u SAP'!$C$3:$C$501,"=63",'Plan prihoda za unos u SAP'!$K$3:$K$501,"=712")</f>
        <v>0</v>
      </c>
      <c r="O64" s="106">
        <f>SUMIFS('Plan prihoda za unos u SAP'!$H$3:$H$501,'Plan prihoda za unos u SAP'!$C$3:$C$501,"=71",'Plan prihoda za unos u SAP'!$K$3:$K$501,"=712")</f>
        <v>0</v>
      </c>
      <c r="P64" s="106">
        <f>SUMIFS('Plan prihoda za unos u SAP'!$H$3:$H$501,'Plan prihoda za unos u SAP'!$C$3:$C$501,"=81",'Plan prihoda za unos u SAP'!$K$3:$K$501,"=712")</f>
        <v>0</v>
      </c>
    </row>
    <row r="65" spans="1:16" s="82" customFormat="1" ht="13.8">
      <c r="A65" s="88" t="s">
        <v>815</v>
      </c>
      <c r="B65" s="111" t="s">
        <v>816</v>
      </c>
      <c r="C65" s="90">
        <f t="shared" si="8"/>
        <v>0</v>
      </c>
      <c r="D65" s="106">
        <f>SUMIFS('Plan prihoda za unos u SAP'!$H$3:$H$501,'Plan prihoda za unos u SAP'!$C$3:$C$501,"=11",'Plan prihoda za unos u SAP'!$K$3:$K$501,"=721")</f>
        <v>0</v>
      </c>
      <c r="E65" s="106">
        <f>SUMIFS('Plan prihoda za unos u SAP'!$H$3:$H$501,'Plan prihoda za unos u SAP'!$C$3:$C$501,"=12",'Plan prihoda za unos u SAP'!$K$3:$K$501,"=721")</f>
        <v>0</v>
      </c>
      <c r="F65" s="106">
        <f>SUMIFS('Plan prihoda za unos u SAP'!$H$3:$H$501,'Plan prihoda za unos u SAP'!$C$3:$C$501,"=31",'Plan prihoda za unos u SAP'!$K$3:$K$501,"=721")</f>
        <v>0</v>
      </c>
      <c r="G65" s="106">
        <f>SUMIFS('Plan prihoda za unos u SAP'!$H$3:$H$501,'Plan prihoda za unos u SAP'!$C$3:$C$501,"=43",'Plan prihoda za unos u SAP'!$K$3:$K$501,"=721")</f>
        <v>0</v>
      </c>
      <c r="H65" s="106">
        <f>SUMIFS('Plan prihoda za unos u SAP'!$H$3:$H$501,'Plan prihoda za unos u SAP'!$C$3:$C$501,"=51",'Plan prihoda za unos u SAP'!$K$3:$K$501,"=721")</f>
        <v>0</v>
      </c>
      <c r="I65" s="106">
        <f>SUMIFS('Plan prihoda za unos u SAP'!$H$3:$H$501,'Plan prihoda za unos u SAP'!$C$3:$C$501,"=52",'Plan prihoda za unos u SAP'!$K$3:$K$501,"=721")</f>
        <v>0</v>
      </c>
      <c r="J65" s="106">
        <f>SUMIFS('Plan prihoda za unos u SAP'!$H$3:$H$501,'Plan prihoda za unos u SAP'!$C$3:$C$501,"=559",'Plan prihoda za unos u SAP'!$K$3:$K$501,"=721")</f>
        <v>0</v>
      </c>
      <c r="K65" s="106">
        <f>SUMIFS('Plan prihoda za unos u SAP'!$H$3:$H$501,'Plan prihoda za unos u SAP'!$C$3:$C$501,"=561",'Plan prihoda za unos u SAP'!$K$3:$K$501,"=721")</f>
        <v>0</v>
      </c>
      <c r="L65" s="106">
        <f>SUMIFS('Plan prihoda za unos u SAP'!$H$3:$H$501,'Plan prihoda za unos u SAP'!$C$3:$C$501,"=563",'Plan prihoda za unos u SAP'!$K$3:$K$501,"=721")</f>
        <v>0</v>
      </c>
      <c r="M65" s="106">
        <f>SUMIFS('Plan prihoda za unos u SAP'!$H$3:$H$501,'Plan prihoda za unos u SAP'!$C$3:$C$501,"=61",'Plan prihoda za unos u SAP'!$K$3:$K$501,"=721")</f>
        <v>0</v>
      </c>
      <c r="N65" s="106">
        <f>SUMIFS('Plan prihoda za unos u SAP'!$H$3:$H$501,'Plan prihoda za unos u SAP'!$C$3:$C$501,"=63",'Plan prihoda za unos u SAP'!$K$3:$K$501,"=721")</f>
        <v>0</v>
      </c>
      <c r="O65" s="106">
        <f>SUMIFS('Plan prihoda za unos u SAP'!$H$3:$H$501,'Plan prihoda za unos u SAP'!$C$3:$C$501,"=71",'Plan prihoda za unos u SAP'!$K$3:$K$501,"=721")</f>
        <v>0</v>
      </c>
      <c r="P65" s="106">
        <f>SUMIFS('Plan prihoda za unos u SAP'!$H$3:$H$501,'Plan prihoda za unos u SAP'!$C$3:$C$501,"=81",'Plan prihoda za unos u SAP'!$K$3:$K$501,"=721")</f>
        <v>0</v>
      </c>
    </row>
    <row r="66" spans="1:16" s="82" customFormat="1" ht="13.8">
      <c r="A66" s="88" t="s">
        <v>817</v>
      </c>
      <c r="B66" s="111" t="s">
        <v>818</v>
      </c>
      <c r="C66" s="90">
        <f t="shared" si="8"/>
        <v>0</v>
      </c>
      <c r="D66" s="106">
        <f>SUMIFS('Plan prihoda za unos u SAP'!$H$3:$H$501,'Plan prihoda za unos u SAP'!$C$3:$C$501,"=11",'Plan prihoda za unos u SAP'!$K$3:$K$501,"=722")</f>
        <v>0</v>
      </c>
      <c r="E66" s="106">
        <f>SUMIFS('Plan prihoda za unos u SAP'!$H$3:$H$501,'Plan prihoda za unos u SAP'!$C$3:$C$501,"=12",'Plan prihoda za unos u SAP'!$K$3:$K$501,"=722")</f>
        <v>0</v>
      </c>
      <c r="F66" s="106">
        <f>SUMIFS('Plan prihoda za unos u SAP'!$H$3:$H$501,'Plan prihoda za unos u SAP'!$C$3:$C$501,"=31",'Plan prihoda za unos u SAP'!$K$3:$K$501,"=722")</f>
        <v>0</v>
      </c>
      <c r="G66" s="106">
        <f>SUMIFS('Plan prihoda za unos u SAP'!$H$3:$H$501,'Plan prihoda za unos u SAP'!$C$3:$C$501,"=43",'Plan prihoda za unos u SAP'!$K$3:$K$501,"=722")</f>
        <v>0</v>
      </c>
      <c r="H66" s="106">
        <f>SUMIFS('Plan prihoda za unos u SAP'!$H$3:$H$501,'Plan prihoda za unos u SAP'!$C$3:$C$501,"=51",'Plan prihoda za unos u SAP'!$K$3:$K$501,"=722")</f>
        <v>0</v>
      </c>
      <c r="I66" s="106">
        <f>SUMIFS('Plan prihoda za unos u SAP'!$H$3:$H$501,'Plan prihoda za unos u SAP'!$C$3:$C$501,"=52",'Plan prihoda za unos u SAP'!$K$3:$K$501,"=722")</f>
        <v>0</v>
      </c>
      <c r="J66" s="106">
        <f>SUMIFS('Plan prihoda za unos u SAP'!$H$3:$H$501,'Plan prihoda za unos u SAP'!$C$3:$C$501,"=559",'Plan prihoda za unos u SAP'!$K$3:$K$501,"=722")</f>
        <v>0</v>
      </c>
      <c r="K66" s="106">
        <f>SUMIFS('Plan prihoda za unos u SAP'!$H$3:$H$501,'Plan prihoda za unos u SAP'!$C$3:$C$501,"=561",'Plan prihoda za unos u SAP'!$K$3:$K$501,"=722")</f>
        <v>0</v>
      </c>
      <c r="L66" s="106">
        <f>SUMIFS('Plan prihoda za unos u SAP'!$H$3:$H$501,'Plan prihoda za unos u SAP'!$C$3:$C$501,"=563",'Plan prihoda za unos u SAP'!$K$3:$K$501,"=722")</f>
        <v>0</v>
      </c>
      <c r="M66" s="106">
        <f>SUMIFS('Plan prihoda za unos u SAP'!$H$3:$H$501,'Plan prihoda za unos u SAP'!$C$3:$C$501,"=61",'Plan prihoda za unos u SAP'!$K$3:$K$501,"=722")</f>
        <v>0</v>
      </c>
      <c r="N66" s="106">
        <f>SUMIFS('Plan prihoda za unos u SAP'!$H$3:$H$501,'Plan prihoda za unos u SAP'!$C$3:$C$501,"=63",'Plan prihoda za unos u SAP'!$K$3:$K$501,"=722")</f>
        <v>0</v>
      </c>
      <c r="O66" s="106">
        <f>SUMIFS('Plan prihoda za unos u SAP'!$H$3:$H$501,'Plan prihoda za unos u SAP'!$C$3:$C$501,"=71",'Plan prihoda za unos u SAP'!$K$3:$K$501,"=722")</f>
        <v>0</v>
      </c>
      <c r="P66" s="106">
        <f>SUMIFS('Plan prihoda za unos u SAP'!$H$3:$H$501,'Plan prihoda za unos u SAP'!$C$3:$C$501,"=81",'Plan prihoda za unos u SAP'!$K$3:$K$501,"=722")</f>
        <v>0</v>
      </c>
    </row>
    <row r="67" spans="1:16" s="82" customFormat="1" ht="13.8">
      <c r="A67" s="88" t="s">
        <v>819</v>
      </c>
      <c r="B67" s="111" t="s">
        <v>820</v>
      </c>
      <c r="C67" s="90">
        <f t="shared" si="8"/>
        <v>0</v>
      </c>
      <c r="D67" s="106">
        <f>SUMIFS('Plan prihoda za unos u SAP'!$H$3:$H$501,'Plan prihoda za unos u SAP'!$C$3:$C$501,"=11",'Plan prihoda za unos u SAP'!$K$3:$K$501,"=723")</f>
        <v>0</v>
      </c>
      <c r="E67" s="106">
        <f>SUMIFS('Plan prihoda za unos u SAP'!$H$3:$H$501,'Plan prihoda za unos u SAP'!$C$3:$C$501,"=12",'Plan prihoda za unos u SAP'!$K$3:$K$501,"=723")</f>
        <v>0</v>
      </c>
      <c r="F67" s="106">
        <f>SUMIFS('Plan prihoda za unos u SAP'!$H$3:$H$501,'Plan prihoda za unos u SAP'!$C$3:$C$501,"=31",'Plan prihoda za unos u SAP'!$K$3:$K$501,"=723")</f>
        <v>0</v>
      </c>
      <c r="G67" s="106">
        <f>SUMIFS('Plan prihoda za unos u SAP'!$H$3:$H$501,'Plan prihoda za unos u SAP'!$C$3:$C$501,"=43",'Plan prihoda za unos u SAP'!$K$3:$K$501,"=723")</f>
        <v>0</v>
      </c>
      <c r="H67" s="106">
        <f>SUMIFS('Plan prihoda za unos u SAP'!$H$3:$H$501,'Plan prihoda za unos u SAP'!$C$3:$C$501,"=51",'Plan prihoda za unos u SAP'!$K$3:$K$501,"=723")</f>
        <v>0</v>
      </c>
      <c r="I67" s="106">
        <f>SUMIFS('Plan prihoda za unos u SAP'!$H$3:$H$501,'Plan prihoda za unos u SAP'!$C$3:$C$501,"=52",'Plan prihoda za unos u SAP'!$K$3:$K$501,"=723")</f>
        <v>0</v>
      </c>
      <c r="J67" s="106">
        <f>SUMIFS('Plan prihoda za unos u SAP'!$H$3:$H$501,'Plan prihoda za unos u SAP'!$C$3:$C$501,"=559",'Plan prihoda za unos u SAP'!$K$3:$K$501,"=723")</f>
        <v>0</v>
      </c>
      <c r="K67" s="106">
        <f>SUMIFS('Plan prihoda za unos u SAP'!$H$3:$H$501,'Plan prihoda za unos u SAP'!$C$3:$C$501,"=561",'Plan prihoda za unos u SAP'!$K$3:$K$501,"=723")</f>
        <v>0</v>
      </c>
      <c r="L67" s="106">
        <f>SUMIFS('Plan prihoda za unos u SAP'!$H$3:$H$501,'Plan prihoda za unos u SAP'!$C$3:$C$501,"=563",'Plan prihoda za unos u SAP'!$K$3:$K$501,"=723")</f>
        <v>0</v>
      </c>
      <c r="M67" s="106">
        <f>SUMIFS('Plan prihoda za unos u SAP'!$H$3:$H$501,'Plan prihoda za unos u SAP'!$C$3:$C$501,"=61",'Plan prihoda za unos u SAP'!$K$3:$K$501,"=723")</f>
        <v>0</v>
      </c>
      <c r="N67" s="106">
        <f>SUMIFS('Plan prihoda za unos u SAP'!$H$3:$H$501,'Plan prihoda za unos u SAP'!$C$3:$C$501,"=63",'Plan prihoda za unos u SAP'!$K$3:$K$501,"=723")</f>
        <v>0</v>
      </c>
      <c r="O67" s="106">
        <f>SUMIFS('Plan prihoda za unos u SAP'!$H$3:$H$501,'Plan prihoda za unos u SAP'!$C$3:$C$501,"=71",'Plan prihoda za unos u SAP'!$K$3:$K$501,"=723")</f>
        <v>0</v>
      </c>
      <c r="P67" s="106">
        <f>SUMIFS('Plan prihoda za unos u SAP'!$H$3:$H$501,'Plan prihoda za unos u SAP'!$C$3:$C$501,"=81",'Plan prihoda za unos u SAP'!$K$3:$K$501,"=723")</f>
        <v>0</v>
      </c>
    </row>
    <row r="68" spans="1:16" s="82" customFormat="1" ht="13.8">
      <c r="A68" s="88" t="s">
        <v>821</v>
      </c>
      <c r="B68" s="111" t="s">
        <v>822</v>
      </c>
      <c r="C68" s="90">
        <f t="shared" si="8"/>
        <v>0</v>
      </c>
      <c r="D68" s="106">
        <f>SUMIFS('Plan prihoda za unos u SAP'!$H$3:$H$501,'Plan prihoda za unos u SAP'!$C$3:$C$501,"=11",'Plan prihoda za unos u SAP'!$K$3:$K$501,"=725")</f>
        <v>0</v>
      </c>
      <c r="E68" s="106">
        <f>SUMIFS('Plan prihoda za unos u SAP'!$H$3:$H$501,'Plan prihoda za unos u SAP'!$C$3:$C$501,"=12",'Plan prihoda za unos u SAP'!$K$3:$K$501,"=725")</f>
        <v>0</v>
      </c>
      <c r="F68" s="106">
        <f>SUMIFS('Plan prihoda za unos u SAP'!$H$3:$H$501,'Plan prihoda za unos u SAP'!$C$3:$C$501,"=31",'Plan prihoda za unos u SAP'!$K$3:$K$501,"=725")</f>
        <v>0</v>
      </c>
      <c r="G68" s="106">
        <f>SUMIFS('Plan prihoda za unos u SAP'!$H$3:$H$501,'Plan prihoda za unos u SAP'!$C$3:$C$501,"=43",'Plan prihoda za unos u SAP'!$K$3:$K$501,"=725")</f>
        <v>0</v>
      </c>
      <c r="H68" s="106">
        <f>SUMIFS('Plan prihoda za unos u SAP'!$H$3:$H$501,'Plan prihoda za unos u SAP'!$C$3:$C$501,"=51",'Plan prihoda za unos u SAP'!$K$3:$K$501,"=725")</f>
        <v>0</v>
      </c>
      <c r="I68" s="106">
        <f>SUMIFS('Plan prihoda za unos u SAP'!$H$3:$H$501,'Plan prihoda za unos u SAP'!$C$3:$C$501,"=52",'Plan prihoda za unos u SAP'!$K$3:$K$501,"=725")</f>
        <v>0</v>
      </c>
      <c r="J68" s="106">
        <f>SUMIFS('Plan prihoda za unos u SAP'!$H$3:$H$501,'Plan prihoda za unos u SAP'!$C$3:$C$501,"=559",'Plan prihoda za unos u SAP'!$K$3:$K$501,"=725")</f>
        <v>0</v>
      </c>
      <c r="K68" s="106">
        <f>SUMIFS('Plan prihoda za unos u SAP'!$H$3:$H$501,'Plan prihoda za unos u SAP'!$C$3:$C$501,"=561",'Plan prihoda za unos u SAP'!$K$3:$K$501,"=725")</f>
        <v>0</v>
      </c>
      <c r="L68" s="106">
        <f>SUMIFS('Plan prihoda za unos u SAP'!$H$3:$H$501,'Plan prihoda za unos u SAP'!$C$3:$C$501,"=563",'Plan prihoda za unos u SAP'!$K$3:$K$501,"=725")</f>
        <v>0</v>
      </c>
      <c r="M68" s="106">
        <f>SUMIFS('Plan prihoda za unos u SAP'!$H$3:$H$501,'Plan prihoda za unos u SAP'!$C$3:$C$501,"=61",'Plan prihoda za unos u SAP'!$K$3:$K$501,"=725")</f>
        <v>0</v>
      </c>
      <c r="N68" s="106">
        <f>SUMIFS('Plan prihoda za unos u SAP'!$H$3:$H$501,'Plan prihoda za unos u SAP'!$C$3:$C$501,"=63",'Plan prihoda za unos u SAP'!$K$3:$K$501,"=725")</f>
        <v>0</v>
      </c>
      <c r="O68" s="106">
        <f>SUMIFS('Plan prihoda za unos u SAP'!$H$3:$H$501,'Plan prihoda za unos u SAP'!$C$3:$C$501,"=71",'Plan prihoda za unos u SAP'!$K$3:$K$501,"=725")</f>
        <v>0</v>
      </c>
      <c r="P68" s="106">
        <f>SUMIFS('Plan prihoda za unos u SAP'!$H$3:$H$501,'Plan prihoda za unos u SAP'!$C$3:$C$501,"=81",'Plan prihoda za unos u SAP'!$K$3:$K$501,"=725")</f>
        <v>0</v>
      </c>
    </row>
    <row r="69" spans="1:16" s="82" customFormat="1" ht="13.8">
      <c r="A69" s="108" t="s">
        <v>823</v>
      </c>
      <c r="B69" s="109" t="s">
        <v>810</v>
      </c>
      <c r="C69" s="90">
        <f t="shared" si="8"/>
        <v>0</v>
      </c>
      <c r="D69" s="110">
        <f t="shared" ref="D69:P69" si="14">SUM(D63:D68)</f>
        <v>0</v>
      </c>
      <c r="E69" s="110">
        <f t="shared" si="14"/>
        <v>0</v>
      </c>
      <c r="F69" s="110">
        <f t="shared" si="14"/>
        <v>0</v>
      </c>
      <c r="G69" s="110">
        <f t="shared" si="14"/>
        <v>0</v>
      </c>
      <c r="H69" s="110">
        <f t="shared" si="14"/>
        <v>0</v>
      </c>
      <c r="I69" s="110">
        <f t="shared" si="14"/>
        <v>0</v>
      </c>
      <c r="J69" s="110">
        <f t="shared" si="14"/>
        <v>0</v>
      </c>
      <c r="K69" s="110">
        <f t="shared" si="14"/>
        <v>0</v>
      </c>
      <c r="L69" s="110">
        <f t="shared" si="14"/>
        <v>0</v>
      </c>
      <c r="M69" s="110">
        <f t="shared" si="14"/>
        <v>0</v>
      </c>
      <c r="N69" s="110">
        <f t="shared" si="14"/>
        <v>0</v>
      </c>
      <c r="O69" s="110">
        <f t="shared" si="14"/>
        <v>0</v>
      </c>
      <c r="P69" s="110">
        <f t="shared" si="14"/>
        <v>0</v>
      </c>
    </row>
    <row r="70" spans="1:16" s="82" customFormat="1" ht="27.6">
      <c r="A70" s="112">
        <v>812</v>
      </c>
      <c r="B70" s="113" t="s">
        <v>824</v>
      </c>
      <c r="C70" s="90">
        <f t="shared" si="8"/>
        <v>0</v>
      </c>
      <c r="D70" s="106">
        <f>SUMIFS('Plan prihoda za unos u SAP'!$H$3:$H$501,'Plan prihoda za unos u SAP'!$C$3:$C$501,"=11",'Plan prihoda za unos u SAP'!$K$3:$K$501,"=812")</f>
        <v>0</v>
      </c>
      <c r="E70" s="106">
        <f>SUMIFS('Plan prihoda za unos u SAP'!$H$3:$H$501,'Plan prihoda za unos u SAP'!$C$3:$C$501,"=12",'Plan prihoda za unos u SAP'!$K$3:$K$501,"=812")</f>
        <v>0</v>
      </c>
      <c r="F70" s="106">
        <f>SUMIFS('Plan prihoda za unos u SAP'!$H$3:$H$501,'Plan prihoda za unos u SAP'!$C$3:$C$501,"=31",'Plan prihoda za unos u SAP'!$K$3:$K$501,"=812")</f>
        <v>0</v>
      </c>
      <c r="G70" s="106">
        <f>SUMIFS('Plan prihoda za unos u SAP'!$H$3:$H$501,'Plan prihoda za unos u SAP'!$C$3:$C$501,"=43",'Plan prihoda za unos u SAP'!$K$3:$K$501,"=812")</f>
        <v>0</v>
      </c>
      <c r="H70" s="106">
        <f>SUMIFS('Plan prihoda za unos u SAP'!$H$3:$H$501,'Plan prihoda za unos u SAP'!$C$3:$C$501,"=51",'Plan prihoda za unos u SAP'!$K$3:$K$501,"=812")</f>
        <v>0</v>
      </c>
      <c r="I70" s="106">
        <f>SUMIFS('Plan prihoda za unos u SAP'!$H$3:$H$501,'Plan prihoda za unos u SAP'!$C$3:$C$501,"=52",'Plan prihoda za unos u SAP'!$K$3:$K$501,"=812")</f>
        <v>0</v>
      </c>
      <c r="J70" s="106">
        <f>SUMIFS('Plan prihoda za unos u SAP'!$H$3:$H$501,'Plan prihoda za unos u SAP'!$C$3:$C$501,"=559",'Plan prihoda za unos u SAP'!$K$3:$K$501,"=812")</f>
        <v>0</v>
      </c>
      <c r="K70" s="106">
        <f>SUMIFS('Plan prihoda za unos u SAP'!$H$3:$H$501,'Plan prihoda za unos u SAP'!$C$3:$C$501,"=561",'Plan prihoda za unos u SAP'!$K$3:$K$501,"=812")</f>
        <v>0</v>
      </c>
      <c r="L70" s="106">
        <f>SUMIFS('Plan prihoda za unos u SAP'!$H$3:$H$501,'Plan prihoda za unos u SAP'!$C$3:$C$501,"=563",'Plan prihoda za unos u SAP'!$K$3:$K$501,"=812")</f>
        <v>0</v>
      </c>
      <c r="M70" s="106">
        <f>SUMIFS('Plan prihoda za unos u SAP'!$H$3:$H$501,'Plan prihoda za unos u SAP'!$C$3:$C$501,"=61",'Plan prihoda za unos u SAP'!$K$3:$K$501,"=812")</f>
        <v>0</v>
      </c>
      <c r="N70" s="106">
        <f>SUMIFS('Plan prihoda za unos u SAP'!$H$3:$H$501,'Plan prihoda za unos u SAP'!$C$3:$C$501,"=63",'Plan prihoda za unos u SAP'!$K$3:$K$501,"=812")</f>
        <v>0</v>
      </c>
      <c r="O70" s="106">
        <f>SUMIFS('Plan prihoda za unos u SAP'!$H$3:$H$501,'Plan prihoda za unos u SAP'!$C$3:$C$501,"=71",'Plan prihoda za unos u SAP'!$K$3:$K$501,"=812")</f>
        <v>0</v>
      </c>
      <c r="P70" s="106">
        <f>SUMIFS('Plan prihoda za unos u SAP'!$H$3:$H$501,'Plan prihoda za unos u SAP'!$C$3:$C$501,"=81",'Plan prihoda za unos u SAP'!$K$3:$K$501,"=812")</f>
        <v>0</v>
      </c>
    </row>
    <row r="71" spans="1:16" s="82" customFormat="1" ht="13.8">
      <c r="A71" s="112"/>
      <c r="B71" s="113"/>
      <c r="C71" s="90">
        <f t="shared" si="8"/>
        <v>0</v>
      </c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</row>
    <row r="72" spans="1:16" s="82" customFormat="1" ht="13.8">
      <c r="A72" s="108" t="s">
        <v>826</v>
      </c>
      <c r="B72" s="109" t="s">
        <v>810</v>
      </c>
      <c r="C72" s="90">
        <f t="shared" si="8"/>
        <v>0</v>
      </c>
      <c r="D72" s="110">
        <f t="shared" ref="D72:P72" si="15">SUM(D70:D71)</f>
        <v>0</v>
      </c>
      <c r="E72" s="110">
        <f t="shared" si="15"/>
        <v>0</v>
      </c>
      <c r="F72" s="110">
        <f t="shared" si="15"/>
        <v>0</v>
      </c>
      <c r="G72" s="110">
        <f t="shared" si="15"/>
        <v>0</v>
      </c>
      <c r="H72" s="110">
        <f t="shared" si="15"/>
        <v>0</v>
      </c>
      <c r="I72" s="110">
        <f t="shared" si="15"/>
        <v>0</v>
      </c>
      <c r="J72" s="110">
        <f t="shared" si="15"/>
        <v>0</v>
      </c>
      <c r="K72" s="110">
        <f t="shared" si="15"/>
        <v>0</v>
      </c>
      <c r="L72" s="110">
        <f t="shared" si="15"/>
        <v>0</v>
      </c>
      <c r="M72" s="110">
        <f t="shared" si="15"/>
        <v>0</v>
      </c>
      <c r="N72" s="110">
        <f t="shared" si="15"/>
        <v>0</v>
      </c>
      <c r="O72" s="110">
        <f t="shared" si="15"/>
        <v>0</v>
      </c>
      <c r="P72" s="110">
        <f t="shared" si="15"/>
        <v>0</v>
      </c>
    </row>
    <row r="73" spans="1:16" s="82" customFormat="1" ht="12.75" customHeight="1">
      <c r="A73" s="238" t="s">
        <v>827</v>
      </c>
      <c r="B73" s="238"/>
      <c r="C73" s="114">
        <f t="shared" si="8"/>
        <v>5562622</v>
      </c>
      <c r="D73" s="114">
        <f t="shared" ref="D73:P73" si="16">+D72+D69+D62</f>
        <v>5482922</v>
      </c>
      <c r="E73" s="114">
        <f t="shared" si="16"/>
        <v>0</v>
      </c>
      <c r="F73" s="114">
        <f t="shared" si="16"/>
        <v>12700</v>
      </c>
      <c r="G73" s="114">
        <f t="shared" si="16"/>
        <v>0</v>
      </c>
      <c r="H73" s="114">
        <f t="shared" si="16"/>
        <v>0</v>
      </c>
      <c r="I73" s="114">
        <f t="shared" si="16"/>
        <v>50000</v>
      </c>
      <c r="J73" s="114">
        <f t="shared" si="16"/>
        <v>0</v>
      </c>
      <c r="K73" s="114">
        <f t="shared" si="16"/>
        <v>0</v>
      </c>
      <c r="L73" s="114">
        <f t="shared" si="16"/>
        <v>0</v>
      </c>
      <c r="M73" s="114">
        <f t="shared" si="16"/>
        <v>17000</v>
      </c>
      <c r="N73" s="114">
        <f t="shared" si="16"/>
        <v>0</v>
      </c>
      <c r="O73" s="114">
        <f t="shared" si="16"/>
        <v>0</v>
      </c>
      <c r="P73" s="114">
        <f t="shared" si="16"/>
        <v>0</v>
      </c>
    </row>
    <row r="74" spans="1:16">
      <c r="A74" s="115"/>
      <c r="B74" s="115"/>
      <c r="C74" s="115"/>
      <c r="D74" s="115"/>
      <c r="E74" s="115"/>
      <c r="F74" s="115"/>
      <c r="G74" s="116"/>
      <c r="H74" s="117"/>
      <c r="I74" s="117"/>
      <c r="J74" s="117"/>
      <c r="K74" s="117"/>
      <c r="L74" s="117"/>
      <c r="P74" s="83"/>
    </row>
    <row r="75" spans="1:16" s="82" customFormat="1" ht="15.75" customHeight="1">
      <c r="A75" s="238" t="s">
        <v>759</v>
      </c>
      <c r="B75" s="238"/>
      <c r="C75" s="239" t="s">
        <v>829</v>
      </c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</row>
    <row r="76" spans="1:16" s="82" customFormat="1" ht="96.6">
      <c r="A76" s="85" t="s">
        <v>761</v>
      </c>
      <c r="B76" s="85" t="s">
        <v>762</v>
      </c>
      <c r="C76" s="84" t="s">
        <v>763</v>
      </c>
      <c r="D76" s="86" t="s">
        <v>764</v>
      </c>
      <c r="E76" s="86" t="s">
        <v>765</v>
      </c>
      <c r="F76" s="87" t="s">
        <v>766</v>
      </c>
      <c r="G76" s="87" t="s">
        <v>767</v>
      </c>
      <c r="H76" s="87" t="s">
        <v>768</v>
      </c>
      <c r="I76" s="87" t="s">
        <v>769</v>
      </c>
      <c r="J76" s="87" t="s">
        <v>770</v>
      </c>
      <c r="K76" s="86" t="s">
        <v>771</v>
      </c>
      <c r="L76" s="86" t="s">
        <v>772</v>
      </c>
      <c r="M76" s="87" t="s">
        <v>773</v>
      </c>
      <c r="N76" s="87" t="s">
        <v>774</v>
      </c>
      <c r="O76" s="87" t="s">
        <v>775</v>
      </c>
      <c r="P76" s="87" t="s">
        <v>776</v>
      </c>
    </row>
    <row r="77" spans="1:16" s="82" customFormat="1" ht="13.8">
      <c r="A77" s="88"/>
      <c r="B77" s="89" t="s">
        <v>85</v>
      </c>
      <c r="C77" s="90">
        <f t="shared" ref="C77:C109" si="17">SUM(D77:P77)</f>
        <v>0</v>
      </c>
      <c r="D77" s="118">
        <f t="shared" ref="D77:P77" si="18">-D43</f>
        <v>0</v>
      </c>
      <c r="E77" s="118">
        <f t="shared" si="18"/>
        <v>0</v>
      </c>
      <c r="F77" s="118">
        <f t="shared" si="18"/>
        <v>0</v>
      </c>
      <c r="G77" s="118">
        <f t="shared" si="18"/>
        <v>0</v>
      </c>
      <c r="H77" s="118">
        <f t="shared" si="18"/>
        <v>0</v>
      </c>
      <c r="I77" s="118">
        <f t="shared" si="18"/>
        <v>0</v>
      </c>
      <c r="J77" s="118">
        <f t="shared" si="18"/>
        <v>0</v>
      </c>
      <c r="K77" s="118">
        <f t="shared" si="18"/>
        <v>0</v>
      </c>
      <c r="L77" s="118">
        <f t="shared" si="18"/>
        <v>0</v>
      </c>
      <c r="M77" s="118">
        <f t="shared" si="18"/>
        <v>0</v>
      </c>
      <c r="N77" s="118">
        <f t="shared" si="18"/>
        <v>0</v>
      </c>
      <c r="O77" s="118">
        <f t="shared" si="18"/>
        <v>0</v>
      </c>
      <c r="P77" s="118">
        <f t="shared" si="18"/>
        <v>0</v>
      </c>
    </row>
    <row r="78" spans="1:16" s="82" customFormat="1" ht="13.8">
      <c r="A78" s="92"/>
      <c r="B78" s="93" t="s">
        <v>777</v>
      </c>
      <c r="C78" s="90">
        <f t="shared" si="17"/>
        <v>5625194</v>
      </c>
      <c r="D78" s="94">
        <f t="shared" ref="D78:P78" si="19">+D98+D105</f>
        <v>5543294</v>
      </c>
      <c r="E78" s="94">
        <f t="shared" si="19"/>
        <v>0</v>
      </c>
      <c r="F78" s="94">
        <f t="shared" si="19"/>
        <v>12900</v>
      </c>
      <c r="G78" s="94">
        <f t="shared" si="19"/>
        <v>0</v>
      </c>
      <c r="H78" s="94">
        <f t="shared" si="19"/>
        <v>0</v>
      </c>
      <c r="I78" s="94">
        <f t="shared" si="19"/>
        <v>50000</v>
      </c>
      <c r="J78" s="94">
        <f t="shared" si="19"/>
        <v>0</v>
      </c>
      <c r="K78" s="94">
        <f t="shared" si="19"/>
        <v>0</v>
      </c>
      <c r="L78" s="94">
        <f t="shared" si="19"/>
        <v>0</v>
      </c>
      <c r="M78" s="94">
        <f t="shared" si="19"/>
        <v>19000</v>
      </c>
      <c r="N78" s="94">
        <f t="shared" si="19"/>
        <v>0</v>
      </c>
      <c r="O78" s="94">
        <f t="shared" si="19"/>
        <v>0</v>
      </c>
      <c r="P78" s="94">
        <f t="shared" si="19"/>
        <v>0</v>
      </c>
    </row>
    <row r="79" spans="1:16" s="82" customFormat="1" ht="13.8">
      <c r="A79" s="88"/>
      <c r="B79" s="89" t="s">
        <v>778</v>
      </c>
      <c r="C79" s="90">
        <f t="shared" si="17"/>
        <v>0</v>
      </c>
      <c r="D79" s="95"/>
      <c r="E79" s="95"/>
      <c r="F79" s="95"/>
      <c r="G79" s="95"/>
      <c r="H79" s="95"/>
      <c r="I79" s="95"/>
      <c r="J79" s="91"/>
      <c r="K79" s="95"/>
      <c r="L79" s="95"/>
      <c r="M79" s="95"/>
      <c r="N79" s="95"/>
      <c r="O79" s="95"/>
      <c r="P79" s="95"/>
    </row>
    <row r="80" spans="1:16" s="82" customFormat="1" ht="13.8">
      <c r="A80" s="92"/>
      <c r="B80" s="93" t="s">
        <v>779</v>
      </c>
      <c r="C80" s="90">
        <f t="shared" si="17"/>
        <v>5625194</v>
      </c>
      <c r="D80" s="94">
        <f t="shared" ref="D80:P80" si="20">+D77+D78+D79</f>
        <v>5543294</v>
      </c>
      <c r="E80" s="94">
        <f t="shared" si="20"/>
        <v>0</v>
      </c>
      <c r="F80" s="94">
        <f t="shared" si="20"/>
        <v>12900</v>
      </c>
      <c r="G80" s="94">
        <f t="shared" si="20"/>
        <v>0</v>
      </c>
      <c r="H80" s="94">
        <f t="shared" si="20"/>
        <v>0</v>
      </c>
      <c r="I80" s="94">
        <f t="shared" si="20"/>
        <v>50000</v>
      </c>
      <c r="J80" s="94">
        <f t="shared" si="20"/>
        <v>0</v>
      </c>
      <c r="K80" s="94">
        <f t="shared" si="20"/>
        <v>0</v>
      </c>
      <c r="L80" s="94">
        <f t="shared" si="20"/>
        <v>0</v>
      </c>
      <c r="M80" s="94">
        <f t="shared" si="20"/>
        <v>19000</v>
      </c>
      <c r="N80" s="94">
        <f t="shared" si="20"/>
        <v>0</v>
      </c>
      <c r="O80" s="94">
        <f t="shared" si="20"/>
        <v>0</v>
      </c>
      <c r="P80" s="94">
        <f t="shared" si="20"/>
        <v>0</v>
      </c>
    </row>
    <row r="81" spans="1:16" s="82" customFormat="1" ht="13.8">
      <c r="A81" s="96"/>
      <c r="B81" s="97" t="s">
        <v>780</v>
      </c>
      <c r="C81" s="90">
        <f t="shared" si="17"/>
        <v>5625194</v>
      </c>
      <c r="D81" s="98">
        <f>+'PLAN RASHODA I IZDATAKA'!D91</f>
        <v>5543194</v>
      </c>
      <c r="E81" s="98">
        <f>+'PLAN RASHODA I IZDATAKA'!E91</f>
        <v>0</v>
      </c>
      <c r="F81" s="98">
        <f>+'PLAN RASHODA I IZDATAKA'!F91</f>
        <v>13000</v>
      </c>
      <c r="G81" s="98">
        <f>+'PLAN RASHODA I IZDATAKA'!G91</f>
        <v>0</v>
      </c>
      <c r="H81" s="98">
        <f>+'PLAN RASHODA I IZDATAKA'!H91</f>
        <v>0</v>
      </c>
      <c r="I81" s="98">
        <f>+'PLAN RASHODA I IZDATAKA'!I91</f>
        <v>50000</v>
      </c>
      <c r="J81" s="98">
        <f>+'PLAN RASHODA I IZDATAKA'!J91</f>
        <v>0</v>
      </c>
      <c r="K81" s="98">
        <f>+'PLAN RASHODA I IZDATAKA'!K91</f>
        <v>0</v>
      </c>
      <c r="L81" s="98">
        <f>+'PLAN RASHODA I IZDATAKA'!L91</f>
        <v>0</v>
      </c>
      <c r="M81" s="98">
        <f>+'PLAN RASHODA I IZDATAKA'!M91</f>
        <v>19000</v>
      </c>
      <c r="N81" s="98">
        <f>+'PLAN RASHODA I IZDATAKA'!N91</f>
        <v>0</v>
      </c>
      <c r="O81" s="98">
        <f>+'PLAN RASHODA I IZDATAKA'!O91</f>
        <v>0</v>
      </c>
      <c r="P81" s="98">
        <f>+'PLAN RASHODA I IZDATAKA'!P91</f>
        <v>0</v>
      </c>
    </row>
    <row r="82" spans="1:16" s="82" customFormat="1" ht="13.8">
      <c r="A82" s="99"/>
      <c r="B82" s="100" t="s">
        <v>781</v>
      </c>
      <c r="C82" s="101">
        <f t="shared" si="17"/>
        <v>0</v>
      </c>
      <c r="D82" s="102">
        <f t="shared" ref="D82:P82" si="21">+D80-D81</f>
        <v>100</v>
      </c>
      <c r="E82" s="102">
        <f t="shared" si="21"/>
        <v>0</v>
      </c>
      <c r="F82" s="102">
        <f t="shared" si="21"/>
        <v>-100</v>
      </c>
      <c r="G82" s="102">
        <f t="shared" si="21"/>
        <v>0</v>
      </c>
      <c r="H82" s="102">
        <f t="shared" si="21"/>
        <v>0</v>
      </c>
      <c r="I82" s="102">
        <f t="shared" si="21"/>
        <v>0</v>
      </c>
      <c r="J82" s="102">
        <f t="shared" si="21"/>
        <v>0</v>
      </c>
      <c r="K82" s="102">
        <f t="shared" si="21"/>
        <v>0</v>
      </c>
      <c r="L82" s="102">
        <f t="shared" si="21"/>
        <v>0</v>
      </c>
      <c r="M82" s="102">
        <f t="shared" si="21"/>
        <v>0</v>
      </c>
      <c r="N82" s="102">
        <f t="shared" si="21"/>
        <v>0</v>
      </c>
      <c r="O82" s="102">
        <f t="shared" si="21"/>
        <v>0</v>
      </c>
      <c r="P82" s="102">
        <f t="shared" si="21"/>
        <v>0</v>
      </c>
    </row>
    <row r="83" spans="1:16" s="82" customFormat="1" ht="13.8">
      <c r="A83" s="103" t="s">
        <v>782</v>
      </c>
      <c r="B83" s="89" t="s">
        <v>783</v>
      </c>
      <c r="C83" s="90">
        <f t="shared" si="17"/>
        <v>0</v>
      </c>
      <c r="D83" s="106">
        <f>SUMIFS('Plan prihoda za unos u SAP'!$I$3:$I$501,'Plan prihoda za unos u SAP'!$C$3:$C$501,"=11",'Plan prihoda za unos u SAP'!$K$3:$K$501,"=631")</f>
        <v>0</v>
      </c>
      <c r="E83" s="106">
        <f>SUMIFS('Plan prihoda za unos u SAP'!$I$3:$I$501,'Plan prihoda za unos u SAP'!$C$3:$C$501,"=12",'Plan prihoda za unos u SAP'!$K$3:$K$501,"=631")</f>
        <v>0</v>
      </c>
      <c r="F83" s="106">
        <f>SUMIFS('Plan prihoda za unos u SAP'!$I$3:$I$501,'Plan prihoda za unos u SAP'!$C$3:$C$501,"=31",'Plan prihoda za unos u SAP'!$K$3:$K$501,"=631")</f>
        <v>0</v>
      </c>
      <c r="G83" s="106">
        <f>SUMIFS('Plan prihoda za unos u SAP'!$I$3:$I$501,'Plan prihoda za unos u SAP'!$C$3:$C$501,"=43",'Plan prihoda za unos u SAP'!$K$3:$K$501,"=631")</f>
        <v>0</v>
      </c>
      <c r="H83" s="106">
        <f>SUMIFS('Plan prihoda za unos u SAP'!$I$3:$I$501,'Plan prihoda za unos u SAP'!$C$3:$C$501,"=51",'Plan prihoda za unos u SAP'!$K$3:$K$501,"=631")</f>
        <v>0</v>
      </c>
      <c r="I83" s="106">
        <f>SUMIFS('Plan prihoda za unos u SAP'!$I$3:$I$501,'Plan prihoda za unos u SAP'!$C$3:$C$501,"=52",'Plan prihoda za unos u SAP'!$K$3:$K$501,"=631")</f>
        <v>0</v>
      </c>
      <c r="J83" s="106">
        <f>SUMIFS('Plan prihoda za unos u SAP'!$I$3:$I$501,'Plan prihoda za unos u SAP'!$C$3:$C$501,"=559",'Plan prihoda za unos u SAP'!$K$3:$K$501,"=631")</f>
        <v>0</v>
      </c>
      <c r="K83" s="106">
        <f>SUMIFS('Plan prihoda za unos u SAP'!$I$3:$I$501,'Plan prihoda za unos u SAP'!$C$3:$C$501,"=561",'Plan prihoda za unos u SAP'!$K$3:$K$501,"=631")</f>
        <v>0</v>
      </c>
      <c r="L83" s="106">
        <f>SUMIFS('Plan prihoda za unos u SAP'!$I$3:$I$501,'Plan prihoda za unos u SAP'!$C$3:$C$501,"=563",'Plan prihoda za unos u SAP'!$K$3:$K$501,"=631")</f>
        <v>0</v>
      </c>
      <c r="M83" s="106">
        <f>SUMIFS('Plan prihoda za unos u SAP'!$I$3:$I$501,'Plan prihoda za unos u SAP'!$C$3:$C$501,"=61",'Plan prihoda za unos u SAP'!$K$3:$K$501,"=631")</f>
        <v>0</v>
      </c>
      <c r="N83" s="106">
        <f>SUMIFS('Plan prihoda za unos u SAP'!$I$3:$I$501,'Plan prihoda za unos u SAP'!$C$3:$C$501,"=63",'Plan prihoda za unos u SAP'!$K$3:$K$501,"=631")</f>
        <v>0</v>
      </c>
      <c r="O83" s="106">
        <f>SUMIFS('Plan prihoda za unos u SAP'!$I$3:$I$501,'Plan prihoda za unos u SAP'!$C$3:$C$501,"=71",'Plan prihoda za unos u SAP'!$K$3:$K$501,"=631")</f>
        <v>0</v>
      </c>
      <c r="P83" s="106">
        <f>SUMIFS('Plan prihoda za unos u SAP'!$I$3:$I$501,'Plan prihoda za unos u SAP'!$C$3:$C$501,"=81",'Plan prihoda za unos u SAP'!$K$3:$K$501,"=631")</f>
        <v>0</v>
      </c>
    </row>
    <row r="84" spans="1:16" s="82" customFormat="1" ht="13.8">
      <c r="A84" s="88" t="s">
        <v>784</v>
      </c>
      <c r="B84" s="89" t="s">
        <v>785</v>
      </c>
      <c r="C84" s="90">
        <f t="shared" si="17"/>
        <v>0</v>
      </c>
      <c r="D84" s="106">
        <f>SUMIFS('Plan prihoda za unos u SAP'!$I$3:$I$501,'Plan prihoda za unos u SAP'!$C$3:$C$501,"=11",'Plan prihoda za unos u SAP'!$K$3:$K$501,"=632")</f>
        <v>0</v>
      </c>
      <c r="E84" s="106">
        <f>SUMIFS('Plan prihoda za unos u SAP'!$I$3:$I$501,'Plan prihoda za unos u SAP'!$C$3:$C$501,"=12",'Plan prihoda za unos u SAP'!$K$3:$K$501,"=632")</f>
        <v>0</v>
      </c>
      <c r="F84" s="106">
        <f>SUMIFS('Plan prihoda za unos u SAP'!$I$3:$I$501,'Plan prihoda za unos u SAP'!$C$3:$C$501,"=31",'Plan prihoda za unos u SAP'!$K$3:$K$501,"=632")</f>
        <v>0</v>
      </c>
      <c r="G84" s="106">
        <f>SUMIFS('Plan prihoda za unos u SAP'!$I$3:$I$501,'Plan prihoda za unos u SAP'!$C$3:$C$501,"=43",'Plan prihoda za unos u SAP'!$K$3:$K$501,"=632")</f>
        <v>0</v>
      </c>
      <c r="H84" s="106">
        <f>SUMIFS('Plan prihoda za unos u SAP'!$I$3:$I$501,'Plan prihoda za unos u SAP'!$C$3:$C$501,"=51",'Plan prihoda za unos u SAP'!$K$3:$K$501,"=632")</f>
        <v>0</v>
      </c>
      <c r="I84" s="106">
        <f>SUMIFS('Plan prihoda za unos u SAP'!$I$3:$I$501,'Plan prihoda za unos u SAP'!$C$3:$C$501,"=52",'Plan prihoda za unos u SAP'!$K$3:$K$501,"=632")</f>
        <v>0</v>
      </c>
      <c r="J84" s="106">
        <f>SUMIFS('Plan prihoda za unos u SAP'!$I$3:$I$501,'Plan prihoda za unos u SAP'!$C$3:$C$501,"=559",'Plan prihoda za unos u SAP'!$K$3:$K$501,"=632")</f>
        <v>0</v>
      </c>
      <c r="K84" s="106">
        <f>SUMIFS('Plan prihoda za unos u SAP'!$I$3:$I$501,'Plan prihoda za unos u SAP'!$C$3:$C$501,"=561",'Plan prihoda za unos u SAP'!$K$3:$K$501,"=632")</f>
        <v>0</v>
      </c>
      <c r="L84" s="106">
        <f>SUMIFS('Plan prihoda za unos u SAP'!$I$3:$I$501,'Plan prihoda za unos u SAP'!$C$3:$C$501,"=563",'Plan prihoda za unos u SAP'!$K$3:$K$501,"=632")</f>
        <v>0</v>
      </c>
      <c r="M84" s="106">
        <f>SUMIFS('Plan prihoda za unos u SAP'!$I$3:$I$501,'Plan prihoda za unos u SAP'!$C$3:$C$501,"=61",'Plan prihoda za unos u SAP'!$K$3:$K$501,"=632")</f>
        <v>0</v>
      </c>
      <c r="N84" s="106">
        <f>SUMIFS('Plan prihoda za unos u SAP'!$I$3:$I$501,'Plan prihoda za unos u SAP'!$C$3:$C$501,"=63",'Plan prihoda za unos u SAP'!$K$3:$K$501,"=632")</f>
        <v>0</v>
      </c>
      <c r="O84" s="106">
        <f>SUMIFS('Plan prihoda za unos u SAP'!$I$3:$I$501,'Plan prihoda za unos u SAP'!$C$3:$C$501,"=71",'Plan prihoda za unos u SAP'!$K$3:$K$501,"=632")</f>
        <v>0</v>
      </c>
      <c r="P84" s="106">
        <f>SUMIFS('Plan prihoda za unos u SAP'!$I$3:$I$501,'Plan prihoda za unos u SAP'!$C$3:$C$501,"=81",'Plan prihoda za unos u SAP'!$K$3:$K$501,"=632")</f>
        <v>0</v>
      </c>
    </row>
    <row r="85" spans="1:16" s="82" customFormat="1" ht="13.8">
      <c r="A85" s="88" t="s">
        <v>786</v>
      </c>
      <c r="B85" s="89" t="s">
        <v>787</v>
      </c>
      <c r="C85" s="90">
        <f t="shared" si="17"/>
        <v>0</v>
      </c>
      <c r="D85" s="106">
        <f>SUMIFS('Plan prihoda za unos u SAP'!$I$3:$I$501,'Plan prihoda za unos u SAP'!$C$3:$C$501,"=11",'Plan prihoda za unos u SAP'!$K$3:$K$501,"=634")</f>
        <v>0</v>
      </c>
      <c r="E85" s="106">
        <f>SUMIFS('Plan prihoda za unos u SAP'!$I$3:$I$501,'Plan prihoda za unos u SAP'!$C$3:$C$501,"=12",'Plan prihoda za unos u SAP'!$K$3:$K$501,"=634")</f>
        <v>0</v>
      </c>
      <c r="F85" s="106">
        <f>SUMIFS('Plan prihoda za unos u SAP'!$I$3:$I$501,'Plan prihoda za unos u SAP'!$C$3:$C$501,"=31",'Plan prihoda za unos u SAP'!$K$3:$K$501,"=634")</f>
        <v>0</v>
      </c>
      <c r="G85" s="106">
        <f>SUMIFS('Plan prihoda za unos u SAP'!$I$3:$I$501,'Plan prihoda za unos u SAP'!$C$3:$C$501,"=43",'Plan prihoda za unos u SAP'!$K$3:$K$501,"=634")</f>
        <v>0</v>
      </c>
      <c r="H85" s="106">
        <f>SUMIFS('Plan prihoda za unos u SAP'!$I$3:$I$501,'Plan prihoda za unos u SAP'!$C$3:$C$501,"=51",'Plan prihoda za unos u SAP'!$K$3:$K$501,"=634")</f>
        <v>0</v>
      </c>
      <c r="I85" s="106">
        <f>SUMIFS('Plan prihoda za unos u SAP'!$I$3:$I$501,'Plan prihoda za unos u SAP'!$C$3:$C$501,"=52",'Plan prihoda za unos u SAP'!$K$3:$K$501,"=634")</f>
        <v>0</v>
      </c>
      <c r="J85" s="106">
        <f>SUMIFS('Plan prihoda za unos u SAP'!$I$3:$I$501,'Plan prihoda za unos u SAP'!$C$3:$C$501,"=559",'Plan prihoda za unos u SAP'!$K$3:$K$501,"=634")</f>
        <v>0</v>
      </c>
      <c r="K85" s="106">
        <f>SUMIFS('Plan prihoda za unos u SAP'!$I$3:$I$501,'Plan prihoda za unos u SAP'!$C$3:$C$501,"=561",'Plan prihoda za unos u SAP'!$K$3:$K$501,"=634")</f>
        <v>0</v>
      </c>
      <c r="L85" s="106">
        <f>SUMIFS('Plan prihoda za unos u SAP'!$I$3:$I$501,'Plan prihoda za unos u SAP'!$C$3:$C$501,"=563",'Plan prihoda za unos u SAP'!$K$3:$K$501,"=634")</f>
        <v>0</v>
      </c>
      <c r="M85" s="106">
        <f>SUMIFS('Plan prihoda za unos u SAP'!$I$3:$I$501,'Plan prihoda za unos u SAP'!$C$3:$C$501,"=61",'Plan prihoda za unos u SAP'!$K$3:$K$501,"=634")</f>
        <v>0</v>
      </c>
      <c r="N85" s="106">
        <f>SUMIFS('Plan prihoda za unos u SAP'!$I$3:$I$501,'Plan prihoda za unos u SAP'!$C$3:$C$501,"=63",'Plan prihoda za unos u SAP'!$K$3:$K$501,"=634")</f>
        <v>0</v>
      </c>
      <c r="O85" s="106">
        <f>SUMIFS('Plan prihoda za unos u SAP'!$I$3:$I$501,'Plan prihoda za unos u SAP'!$C$3:$C$501,"=71",'Plan prihoda za unos u SAP'!$K$3:$K$501,"=634")</f>
        <v>0</v>
      </c>
      <c r="P85" s="106">
        <f>SUMIFS('Plan prihoda za unos u SAP'!$I$3:$I$501,'Plan prihoda za unos u SAP'!$C$3:$C$501,"=81",'Plan prihoda za unos u SAP'!$K$3:$K$501,"=634")</f>
        <v>0</v>
      </c>
    </row>
    <row r="86" spans="1:16" s="82" customFormat="1" ht="13.8">
      <c r="A86" s="107" t="s">
        <v>788</v>
      </c>
      <c r="B86" s="89" t="s">
        <v>469</v>
      </c>
      <c r="C86" s="90">
        <f t="shared" si="17"/>
        <v>0</v>
      </c>
      <c r="D86" s="106">
        <f>SUMIFS('Plan prihoda za unos u SAP'!$I$3:$I$501,'Plan prihoda za unos u SAP'!$C$3:$C$501,"=11",'Plan prihoda za unos u SAP'!$K$3:$K$501,"=636")</f>
        <v>0</v>
      </c>
      <c r="E86" s="106">
        <f>SUMIFS('Plan prihoda za unos u SAP'!$I$3:$I$501,'Plan prihoda za unos u SAP'!$C$3:$C$501,"=12",'Plan prihoda za unos u SAP'!$K$3:$K$501,"=636")</f>
        <v>0</v>
      </c>
      <c r="F86" s="106">
        <f>SUMIFS('Plan prihoda za unos u SAP'!$I$3:$I$501,'Plan prihoda za unos u SAP'!$C$3:$C$501,"=31",'Plan prihoda za unos u SAP'!$K$3:$K$501,"=636")</f>
        <v>0</v>
      </c>
      <c r="G86" s="106">
        <f>SUMIFS('Plan prihoda za unos u SAP'!$I$3:$I$501,'Plan prihoda za unos u SAP'!$C$3:$C$501,"=43",'Plan prihoda za unos u SAP'!$K$3:$K$501,"=636")</f>
        <v>0</v>
      </c>
      <c r="H86" s="106">
        <f>SUMIFS('Plan prihoda za unos u SAP'!$I$3:$I$501,'Plan prihoda za unos u SAP'!$C$3:$C$501,"=51",'Plan prihoda za unos u SAP'!$K$3:$K$501,"=636")</f>
        <v>0</v>
      </c>
      <c r="I86" s="106">
        <f>SUMIFS('Plan prihoda za unos u SAP'!$I$3:$I$501,'Plan prihoda za unos u SAP'!$C$3:$C$501,"=52",'Plan prihoda za unos u SAP'!$K$3:$K$501,"=636")</f>
        <v>0</v>
      </c>
      <c r="J86" s="106">
        <f>SUMIFS('Plan prihoda za unos u SAP'!$I$3:$I$501,'Plan prihoda za unos u SAP'!$C$3:$C$501,"=559",'Plan prihoda za unos u SAP'!$K$3:$K$501,"=636")</f>
        <v>0</v>
      </c>
      <c r="K86" s="106">
        <f>SUMIFS('Plan prihoda za unos u SAP'!$I$3:$I$501,'Plan prihoda za unos u SAP'!$C$3:$C$501,"=561",'Plan prihoda za unos u SAP'!$K$3:$K$501,"=636")</f>
        <v>0</v>
      </c>
      <c r="L86" s="106">
        <f>SUMIFS('Plan prihoda za unos u SAP'!$I$3:$I$501,'Plan prihoda za unos u SAP'!$C$3:$C$501,"=563",'Plan prihoda za unos u SAP'!$K$3:$K$501,"=636")</f>
        <v>0</v>
      </c>
      <c r="M86" s="106">
        <f>SUMIFS('Plan prihoda za unos u SAP'!$I$3:$I$501,'Plan prihoda za unos u SAP'!$C$3:$C$501,"=61",'Plan prihoda za unos u SAP'!$K$3:$K$501,"=636")</f>
        <v>0</v>
      </c>
      <c r="N86" s="106">
        <f>SUMIFS('Plan prihoda za unos u SAP'!$I$3:$I$501,'Plan prihoda za unos u SAP'!$C$3:$C$501,"=63",'Plan prihoda za unos u SAP'!$K$3:$K$501,"=636")</f>
        <v>0</v>
      </c>
      <c r="O86" s="106">
        <f>SUMIFS('Plan prihoda za unos u SAP'!$I$3:$I$501,'Plan prihoda za unos u SAP'!$C$3:$C$501,"=71",'Plan prihoda za unos u SAP'!$K$3:$K$501,"=636")</f>
        <v>0</v>
      </c>
      <c r="P86" s="106">
        <f>SUMIFS('Plan prihoda za unos u SAP'!$I$3:$I$501,'Plan prihoda za unos u SAP'!$C$3:$C$501,"=81",'Plan prihoda za unos u SAP'!$K$3:$K$501,"=636")</f>
        <v>0</v>
      </c>
    </row>
    <row r="87" spans="1:16" s="82" customFormat="1" ht="13.8">
      <c r="A87" s="88" t="s">
        <v>789</v>
      </c>
      <c r="B87" s="89" t="s">
        <v>790</v>
      </c>
      <c r="C87" s="90">
        <f t="shared" si="17"/>
        <v>0</v>
      </c>
      <c r="D87" s="106">
        <f>SUMIFS('Plan prihoda za unos u SAP'!$I$3:$I$501,'Plan prihoda za unos u SAP'!$C$3:$C$501,"=11",'Plan prihoda za unos u SAP'!$K$3:$K$501,"=638")</f>
        <v>0</v>
      </c>
      <c r="E87" s="106">
        <f>SUMIFS('Plan prihoda za unos u SAP'!$I$3:$I$501,'Plan prihoda za unos u SAP'!$C$3:$C$501,"=12",'Plan prihoda za unos u SAP'!$K$3:$K$501,"=638")</f>
        <v>0</v>
      </c>
      <c r="F87" s="106">
        <f>SUMIFS('Plan prihoda za unos u SAP'!$I$3:$I$501,'Plan prihoda za unos u SAP'!$C$3:$C$501,"=31",'Plan prihoda za unos u SAP'!$K$3:$K$501,"=638")</f>
        <v>0</v>
      </c>
      <c r="G87" s="106">
        <f>SUMIFS('Plan prihoda za unos u SAP'!$I$3:$I$501,'Plan prihoda za unos u SAP'!$C$3:$C$501,"=43",'Plan prihoda za unos u SAP'!$K$3:$K$501,"=638")</f>
        <v>0</v>
      </c>
      <c r="H87" s="106">
        <f>SUMIFS('Plan prihoda za unos u SAP'!$I$3:$I$501,'Plan prihoda za unos u SAP'!$C$3:$C$501,"=51",'Plan prihoda za unos u SAP'!$K$3:$K$501,"=638")</f>
        <v>0</v>
      </c>
      <c r="I87" s="106">
        <f>SUMIFS('Plan prihoda za unos u SAP'!$I$3:$I$501,'Plan prihoda za unos u SAP'!$C$3:$C$501,"=52",'Plan prihoda za unos u SAP'!$K$3:$K$501,"=638")</f>
        <v>0</v>
      </c>
      <c r="J87" s="106">
        <f>SUMIFS('Plan prihoda za unos u SAP'!$I$3:$I$501,'Plan prihoda za unos u SAP'!$C$3:$C$501,"=559",'Plan prihoda za unos u SAP'!$K$3:$K$501,"=638")</f>
        <v>0</v>
      </c>
      <c r="K87" s="106">
        <f>SUMIFS('Plan prihoda za unos u SAP'!$I$3:$I$501,'Plan prihoda za unos u SAP'!$C$3:$C$501,"=561",'Plan prihoda za unos u SAP'!$K$3:$K$501,"=638")</f>
        <v>0</v>
      </c>
      <c r="L87" s="106">
        <f>SUMIFS('Plan prihoda za unos u SAP'!$I$3:$I$501,'Plan prihoda za unos u SAP'!$C$3:$C$501,"=563",'Plan prihoda za unos u SAP'!$K$3:$K$501,"=638")</f>
        <v>0</v>
      </c>
      <c r="M87" s="106">
        <f>SUMIFS('Plan prihoda za unos u SAP'!$I$3:$I$501,'Plan prihoda za unos u SAP'!$C$3:$C$501,"=61",'Plan prihoda za unos u SAP'!$K$3:$K$501,"=638")</f>
        <v>0</v>
      </c>
      <c r="N87" s="106">
        <f>SUMIFS('Plan prihoda za unos u SAP'!$I$3:$I$501,'Plan prihoda za unos u SAP'!$C$3:$C$501,"=63",'Plan prihoda za unos u SAP'!$K$3:$K$501,"=638")</f>
        <v>0</v>
      </c>
      <c r="O87" s="106">
        <f>SUMIFS('Plan prihoda za unos u SAP'!$I$3:$I$501,'Plan prihoda za unos u SAP'!$C$3:$C$501,"=71",'Plan prihoda za unos u SAP'!$K$3:$K$501,"=638")</f>
        <v>0</v>
      </c>
      <c r="P87" s="106">
        <f>SUMIFS('Plan prihoda za unos u SAP'!$I$3:$I$501,'Plan prihoda za unos u SAP'!$C$3:$C$501,"=81",'Plan prihoda za unos u SAP'!$K$3:$K$501,"=638")</f>
        <v>0</v>
      </c>
    </row>
    <row r="88" spans="1:16" s="82" customFormat="1" ht="13.8">
      <c r="A88" s="88" t="s">
        <v>791</v>
      </c>
      <c r="B88" s="89" t="s">
        <v>792</v>
      </c>
      <c r="C88" s="90">
        <f t="shared" si="17"/>
        <v>50000</v>
      </c>
      <c r="D88" s="106">
        <f>SUMIFS('Plan prihoda za unos u SAP'!$I$3:$I$501,'Plan prihoda za unos u SAP'!$C$3:$C$501,"=11",'Plan prihoda za unos u SAP'!$K$3:$K$501,"=639")</f>
        <v>0</v>
      </c>
      <c r="E88" s="106">
        <f>SUMIFS('Plan prihoda za unos u SAP'!$I$3:$I$501,'Plan prihoda za unos u SAP'!$C$3:$C$501,"=12",'Plan prihoda za unos u SAP'!$K$3:$K$501,"=639")</f>
        <v>0</v>
      </c>
      <c r="F88" s="106">
        <f>SUMIFS('Plan prihoda za unos u SAP'!$I$3:$I$501,'Plan prihoda za unos u SAP'!$C$3:$C$501,"=31",'Plan prihoda za unos u SAP'!$K$3:$K$501,"=639")</f>
        <v>0</v>
      </c>
      <c r="G88" s="106">
        <f>SUMIFS('Plan prihoda za unos u SAP'!$I$3:$I$501,'Plan prihoda za unos u SAP'!$C$3:$C$501,"=43",'Plan prihoda za unos u SAP'!$K$3:$K$501,"=639")</f>
        <v>0</v>
      </c>
      <c r="H88" s="106">
        <f>SUMIFS('Plan prihoda za unos u SAP'!$I$3:$I$501,'Plan prihoda za unos u SAP'!$C$3:$C$501,"=51",'Plan prihoda za unos u SAP'!$K$3:$K$501,"=639")</f>
        <v>0</v>
      </c>
      <c r="I88" s="106">
        <f>SUMIFS('Plan prihoda za unos u SAP'!$I$3:$I$501,'Plan prihoda za unos u SAP'!$C$3:$C$501,"=52",'Plan prihoda za unos u SAP'!$K$3:$K$501,"=639")</f>
        <v>50000</v>
      </c>
      <c r="J88" s="106">
        <f>SUMIFS('Plan prihoda za unos u SAP'!$I$3:$I$501,'Plan prihoda za unos u SAP'!$C$3:$C$501,"=559",'Plan prihoda za unos u SAP'!$K$3:$K$501,"=639")</f>
        <v>0</v>
      </c>
      <c r="K88" s="106">
        <f>SUMIFS('Plan prihoda za unos u SAP'!$I$3:$I$501,'Plan prihoda za unos u SAP'!$C$3:$C$501,"=561",'Plan prihoda za unos u SAP'!$K$3:$K$501,"=639")</f>
        <v>0</v>
      </c>
      <c r="L88" s="106">
        <f>SUMIFS('Plan prihoda za unos u SAP'!$I$3:$I$501,'Plan prihoda za unos u SAP'!$C$3:$C$501,"=563",'Plan prihoda za unos u SAP'!$K$3:$K$501,"=639")</f>
        <v>0</v>
      </c>
      <c r="M88" s="106">
        <f>SUMIFS('Plan prihoda za unos u SAP'!$I$3:$I$501,'Plan prihoda za unos u SAP'!$C$3:$C$501,"=61",'Plan prihoda za unos u SAP'!$K$3:$K$501,"=639")</f>
        <v>0</v>
      </c>
      <c r="N88" s="106">
        <f>SUMIFS('Plan prihoda za unos u SAP'!$I$3:$I$501,'Plan prihoda za unos u SAP'!$C$3:$C$501,"=63",'Plan prihoda za unos u SAP'!$K$3:$K$501,"=639")</f>
        <v>0</v>
      </c>
      <c r="O88" s="106">
        <f>SUMIFS('Plan prihoda za unos u SAP'!$I$3:$I$501,'Plan prihoda za unos u SAP'!$C$3:$C$501,"=71",'Plan prihoda za unos u SAP'!$K$3:$K$501,"=639")</f>
        <v>0</v>
      </c>
      <c r="P88" s="106">
        <f>SUMIFS('Plan prihoda za unos u SAP'!$I$3:$I$501,'Plan prihoda za unos u SAP'!$C$3:$C$501,"=81",'Plan prihoda za unos u SAP'!$K$3:$K$501,"=639")</f>
        <v>0</v>
      </c>
    </row>
    <row r="89" spans="1:16" s="82" customFormat="1" ht="13.8">
      <c r="A89" s="88" t="s">
        <v>793</v>
      </c>
      <c r="B89" s="89" t="s">
        <v>794</v>
      </c>
      <c r="C89" s="90">
        <f t="shared" si="17"/>
        <v>300</v>
      </c>
      <c r="D89" s="106">
        <f>SUMIFS('Plan prihoda za unos u SAP'!$I$3:$I$501,'Plan prihoda za unos u SAP'!$C$3:$C$501,"=11",'Plan prihoda za unos u SAP'!$K$3:$K$501,"=641")</f>
        <v>0</v>
      </c>
      <c r="E89" s="106">
        <f>SUMIFS('Plan prihoda za unos u SAP'!$I$3:$I$501,'Plan prihoda za unos u SAP'!$C$3:$C$501,"=12",'Plan prihoda za unos u SAP'!$K$3:$K$501,"=641")</f>
        <v>0</v>
      </c>
      <c r="F89" s="106">
        <f>SUMIFS('Plan prihoda za unos u SAP'!$I$3:$I$501,'Plan prihoda za unos u SAP'!$C$3:$C$501,"=31",'Plan prihoda za unos u SAP'!$K$3:$K$501,"=641")</f>
        <v>300</v>
      </c>
      <c r="G89" s="106">
        <f>SUMIFS('Plan prihoda za unos u SAP'!$I$3:$I$501,'Plan prihoda za unos u SAP'!$C$3:$C$501,"=43",'Plan prihoda za unos u SAP'!$K$3:$K$501,"=641")</f>
        <v>0</v>
      </c>
      <c r="H89" s="106">
        <f>SUMIFS('Plan prihoda za unos u SAP'!$I$3:$I$501,'Plan prihoda za unos u SAP'!$C$3:$C$501,"=51",'Plan prihoda za unos u SAP'!$K$3:$K$501,"=641")</f>
        <v>0</v>
      </c>
      <c r="I89" s="106">
        <f>SUMIFS('Plan prihoda za unos u SAP'!$I$3:$I$501,'Plan prihoda za unos u SAP'!$C$3:$C$501,"=52",'Plan prihoda za unos u SAP'!$K$3:$K$501,"=641")</f>
        <v>0</v>
      </c>
      <c r="J89" s="106">
        <f>SUMIFS('Plan prihoda za unos u SAP'!$I$3:$I$501,'Plan prihoda za unos u SAP'!$C$3:$C$501,"=559",'Plan prihoda za unos u SAP'!$K$3:$K$501,"=641")</f>
        <v>0</v>
      </c>
      <c r="K89" s="106">
        <f>SUMIFS('Plan prihoda za unos u SAP'!$I$3:$I$501,'Plan prihoda za unos u SAP'!$C$3:$C$501,"=561",'Plan prihoda za unos u SAP'!$K$3:$K$501,"=641")</f>
        <v>0</v>
      </c>
      <c r="L89" s="106">
        <f>SUMIFS('Plan prihoda za unos u SAP'!$I$3:$I$501,'Plan prihoda za unos u SAP'!$C$3:$C$501,"=563",'Plan prihoda za unos u SAP'!$K$3:$K$501,"=641")</f>
        <v>0</v>
      </c>
      <c r="M89" s="106">
        <f>SUMIFS('Plan prihoda za unos u SAP'!$I$3:$I$501,'Plan prihoda za unos u SAP'!$C$3:$C$501,"=61",'Plan prihoda za unos u SAP'!$K$3:$K$501,"=641")</f>
        <v>0</v>
      </c>
      <c r="N89" s="106">
        <f>SUMIFS('Plan prihoda za unos u SAP'!$I$3:$I$501,'Plan prihoda za unos u SAP'!$C$3:$C$501,"=63",'Plan prihoda za unos u SAP'!$K$3:$K$501,"=641")</f>
        <v>0</v>
      </c>
      <c r="O89" s="106">
        <f>SUMIFS('Plan prihoda za unos u SAP'!$I$3:$I$501,'Plan prihoda za unos u SAP'!$C$3:$C$501,"=71",'Plan prihoda za unos u SAP'!$K$3:$K$501,"=641")</f>
        <v>0</v>
      </c>
      <c r="P89" s="106">
        <f>SUMIFS('Plan prihoda za unos u SAP'!$I$3:$I$501,'Plan prihoda za unos u SAP'!$C$3:$C$501,"=81",'Plan prihoda za unos u SAP'!$K$3:$K$501,"=641")</f>
        <v>0</v>
      </c>
    </row>
    <row r="90" spans="1:16" s="82" customFormat="1" ht="13.8">
      <c r="A90" s="88" t="s">
        <v>795</v>
      </c>
      <c r="B90" s="89" t="s">
        <v>796</v>
      </c>
      <c r="C90" s="90">
        <f t="shared" si="17"/>
        <v>0</v>
      </c>
      <c r="D90" s="106">
        <f>SUMIFS('Plan prihoda za unos u SAP'!$I$3:$I$501,'Plan prihoda za unos u SAP'!$C$3:$C$501,"=11",'Plan prihoda za unos u SAP'!$K$3:$K$501,"=642")</f>
        <v>0</v>
      </c>
      <c r="E90" s="106">
        <f>SUMIFS('Plan prihoda za unos u SAP'!$I$3:$I$501,'Plan prihoda za unos u SAP'!$C$3:$C$501,"=12",'Plan prihoda za unos u SAP'!$K$3:$K$501,"=642")</f>
        <v>0</v>
      </c>
      <c r="F90" s="106">
        <f>SUMIFS('Plan prihoda za unos u SAP'!$I$3:$I$501,'Plan prihoda za unos u SAP'!$C$3:$C$501,"=31",'Plan prihoda za unos u SAP'!$K$3:$K$501,"=642")</f>
        <v>0</v>
      </c>
      <c r="G90" s="106">
        <f>SUMIFS('Plan prihoda za unos u SAP'!$I$3:$I$501,'Plan prihoda za unos u SAP'!$C$3:$C$501,"=43",'Plan prihoda za unos u SAP'!$K$3:$K$501,"=642")</f>
        <v>0</v>
      </c>
      <c r="H90" s="106">
        <f>SUMIFS('Plan prihoda za unos u SAP'!$I$3:$I$501,'Plan prihoda za unos u SAP'!$C$3:$C$501,"=51",'Plan prihoda za unos u SAP'!$K$3:$K$501,"=642")</f>
        <v>0</v>
      </c>
      <c r="I90" s="106">
        <f>SUMIFS('Plan prihoda za unos u SAP'!$I$3:$I$501,'Plan prihoda za unos u SAP'!$C$3:$C$501,"=52",'Plan prihoda za unos u SAP'!$K$3:$K$501,"=642")</f>
        <v>0</v>
      </c>
      <c r="J90" s="106">
        <f>SUMIFS('Plan prihoda za unos u SAP'!$I$3:$I$501,'Plan prihoda za unos u SAP'!$C$3:$C$501,"=559",'Plan prihoda za unos u SAP'!$K$3:$K$501,"=642")</f>
        <v>0</v>
      </c>
      <c r="K90" s="106">
        <f>SUMIFS('Plan prihoda za unos u SAP'!$I$3:$I$501,'Plan prihoda za unos u SAP'!$C$3:$C$501,"=561",'Plan prihoda za unos u SAP'!$K$3:$K$501,"=642")</f>
        <v>0</v>
      </c>
      <c r="L90" s="106">
        <f>SUMIFS('Plan prihoda za unos u SAP'!$I$3:$I$501,'Plan prihoda za unos u SAP'!$C$3:$C$501,"=563",'Plan prihoda za unos u SAP'!$K$3:$K$501,"=642")</f>
        <v>0</v>
      </c>
      <c r="M90" s="106">
        <f>SUMIFS('Plan prihoda za unos u SAP'!$I$3:$I$501,'Plan prihoda za unos u SAP'!$C$3:$C$501,"=61",'Plan prihoda za unos u SAP'!$K$3:$K$501,"=642")</f>
        <v>0</v>
      </c>
      <c r="N90" s="106">
        <f>SUMIFS('Plan prihoda za unos u SAP'!$I$3:$I$501,'Plan prihoda za unos u SAP'!$C$3:$C$501,"=63",'Plan prihoda za unos u SAP'!$K$3:$K$501,"=642")</f>
        <v>0</v>
      </c>
      <c r="O90" s="106">
        <f>SUMIFS('Plan prihoda za unos u SAP'!$I$3:$I$501,'Plan prihoda za unos u SAP'!$C$3:$C$501,"=71",'Plan prihoda za unos u SAP'!$K$3:$K$501,"=642")</f>
        <v>0</v>
      </c>
      <c r="P90" s="106">
        <f>SUMIFS('Plan prihoda za unos u SAP'!$I$3:$I$501,'Plan prihoda za unos u SAP'!$C$3:$C$501,"=81",'Plan prihoda za unos u SAP'!$K$3:$K$501,"=642")</f>
        <v>0</v>
      </c>
    </row>
    <row r="91" spans="1:16" s="82" customFormat="1" ht="13.8">
      <c r="A91" s="107" t="s">
        <v>797</v>
      </c>
      <c r="B91" s="89" t="s">
        <v>472</v>
      </c>
      <c r="C91" s="90">
        <f t="shared" si="17"/>
        <v>0</v>
      </c>
      <c r="D91" s="106">
        <f>SUMIFS('Plan prihoda za unos u SAP'!$I$3:$I$501,'Plan prihoda za unos u SAP'!$C$3:$C$501,"=11",'Plan prihoda za unos u SAP'!$K$3:$K$501,"=651")</f>
        <v>0</v>
      </c>
      <c r="E91" s="106">
        <f>SUMIFS('Plan prihoda za unos u SAP'!$I$3:$I$501,'Plan prihoda za unos u SAP'!$C$3:$C$501,"=12",'Plan prihoda za unos u SAP'!$K$3:$K$501,"=651")</f>
        <v>0</v>
      </c>
      <c r="F91" s="106">
        <f>SUMIFS('Plan prihoda za unos u SAP'!$I$3:$I$501,'Plan prihoda za unos u SAP'!$C$3:$C$501,"=31",'Plan prihoda za unos u SAP'!$K$3:$K$501,"=651")</f>
        <v>0</v>
      </c>
      <c r="G91" s="106">
        <f>SUMIFS('Plan prihoda za unos u SAP'!$I$3:$I$501,'Plan prihoda za unos u SAP'!$C$3:$C$501,"=43",'Plan prihoda za unos u SAP'!$K$3:$K$501,"=651")</f>
        <v>0</v>
      </c>
      <c r="H91" s="106">
        <f>SUMIFS('Plan prihoda za unos u SAP'!$I$3:$I$501,'Plan prihoda za unos u SAP'!$C$3:$C$501,"=51",'Plan prihoda za unos u SAP'!$K$3:$K$501,"=651")</f>
        <v>0</v>
      </c>
      <c r="I91" s="106">
        <f>SUMIFS('Plan prihoda za unos u SAP'!$I$3:$I$501,'Plan prihoda za unos u SAP'!$C$3:$C$501,"=52",'Plan prihoda za unos u SAP'!$K$3:$K$501,"=651")</f>
        <v>0</v>
      </c>
      <c r="J91" s="106">
        <f>SUMIFS('Plan prihoda za unos u SAP'!$I$3:$I$501,'Plan prihoda za unos u SAP'!$C$3:$C$501,"=559",'Plan prihoda za unos u SAP'!$K$3:$K$501,"=651")</f>
        <v>0</v>
      </c>
      <c r="K91" s="106">
        <f>SUMIFS('Plan prihoda za unos u SAP'!$I$3:$I$501,'Plan prihoda za unos u SAP'!$C$3:$C$501,"=561",'Plan prihoda za unos u SAP'!$K$3:$K$501,"=651")</f>
        <v>0</v>
      </c>
      <c r="L91" s="106">
        <f>SUMIFS('Plan prihoda za unos u SAP'!$I$3:$I$501,'Plan prihoda za unos u SAP'!$C$3:$C$501,"=563",'Plan prihoda za unos u SAP'!$K$3:$K$501,"=651")</f>
        <v>0</v>
      </c>
      <c r="M91" s="106">
        <f>SUMIFS('Plan prihoda za unos u SAP'!$I$3:$I$501,'Plan prihoda za unos u SAP'!$C$3:$C$501,"=61",'Plan prihoda za unos u SAP'!$K$3:$K$501,"=651")</f>
        <v>0</v>
      </c>
      <c r="N91" s="106">
        <f>SUMIFS('Plan prihoda za unos u SAP'!$I$3:$I$501,'Plan prihoda za unos u SAP'!$C$3:$C$501,"=63",'Plan prihoda za unos u SAP'!$K$3:$K$501,"=651")</f>
        <v>0</v>
      </c>
      <c r="O91" s="106">
        <f>SUMIFS('Plan prihoda za unos u SAP'!$I$3:$I$501,'Plan prihoda za unos u SAP'!$C$3:$C$501,"=71",'Plan prihoda za unos u SAP'!$K$3:$K$501,"=651")</f>
        <v>0</v>
      </c>
      <c r="P91" s="106">
        <f>SUMIFS('Plan prihoda za unos u SAP'!$I$3:$I$501,'Plan prihoda za unos u SAP'!$C$3:$C$501,"=81",'Plan prihoda za unos u SAP'!$K$3:$K$501,"=651")</f>
        <v>0</v>
      </c>
    </row>
    <row r="92" spans="1:16" s="82" customFormat="1" ht="13.8">
      <c r="A92" s="88" t="s">
        <v>798</v>
      </c>
      <c r="B92" s="89" t="s">
        <v>799</v>
      </c>
      <c r="C92" s="90">
        <f t="shared" si="17"/>
        <v>0</v>
      </c>
      <c r="D92" s="106">
        <f>SUMIFS('Plan prihoda za unos u SAP'!$I$3:$I$501,'Plan prihoda za unos u SAP'!$C$3:$C$501,"=11",'Plan prihoda za unos u SAP'!$K$3:$K$501,"=652")</f>
        <v>0</v>
      </c>
      <c r="E92" s="106">
        <f>SUMIFS('Plan prihoda za unos u SAP'!$I$3:$I$501,'Plan prihoda za unos u SAP'!$C$3:$C$501,"=12",'Plan prihoda za unos u SAP'!$K$3:$K$501,"=652")</f>
        <v>0</v>
      </c>
      <c r="F92" s="106">
        <f>SUMIFS('Plan prihoda za unos u SAP'!$I$3:$I$501,'Plan prihoda za unos u SAP'!$C$3:$C$501,"=31",'Plan prihoda za unos u SAP'!$K$3:$K$501,"=652")</f>
        <v>0</v>
      </c>
      <c r="G92" s="106">
        <f>SUMIFS('Plan prihoda za unos u SAP'!$I$3:$I$501,'Plan prihoda za unos u SAP'!$C$3:$C$501,"=43",'Plan prihoda za unos u SAP'!$K$3:$K$501,"=652")</f>
        <v>0</v>
      </c>
      <c r="H92" s="106">
        <f>SUMIFS('Plan prihoda za unos u SAP'!$I$3:$I$501,'Plan prihoda za unos u SAP'!$C$3:$C$501,"=51",'Plan prihoda za unos u SAP'!$K$3:$K$501,"=652")</f>
        <v>0</v>
      </c>
      <c r="I92" s="106">
        <f>SUMIFS('Plan prihoda za unos u SAP'!$I$3:$I$501,'Plan prihoda za unos u SAP'!$C$3:$C$501,"=52",'Plan prihoda za unos u SAP'!$K$3:$K$501,"=652")</f>
        <v>0</v>
      </c>
      <c r="J92" s="106">
        <f>SUMIFS('Plan prihoda za unos u SAP'!$I$3:$I$501,'Plan prihoda za unos u SAP'!$C$3:$C$501,"=559",'Plan prihoda za unos u SAP'!$K$3:$K$501,"=652")</f>
        <v>0</v>
      </c>
      <c r="K92" s="106">
        <f>SUMIFS('Plan prihoda za unos u SAP'!$I$3:$I$501,'Plan prihoda za unos u SAP'!$C$3:$C$501,"=561",'Plan prihoda za unos u SAP'!$K$3:$K$501,"=652")</f>
        <v>0</v>
      </c>
      <c r="L92" s="106">
        <f>SUMIFS('Plan prihoda za unos u SAP'!$I$3:$I$501,'Plan prihoda za unos u SAP'!$C$3:$C$501,"=563",'Plan prihoda za unos u SAP'!$K$3:$K$501,"=652")</f>
        <v>0</v>
      </c>
      <c r="M92" s="106">
        <f>SUMIFS('Plan prihoda za unos u SAP'!$I$3:$I$501,'Plan prihoda za unos u SAP'!$C$3:$C$501,"=61",'Plan prihoda za unos u SAP'!$K$3:$K$501,"=652")</f>
        <v>0</v>
      </c>
      <c r="N92" s="106">
        <f>SUMIFS('Plan prihoda za unos u SAP'!$I$3:$I$501,'Plan prihoda za unos u SAP'!$C$3:$C$501,"=63",'Plan prihoda za unos u SAP'!$K$3:$K$501,"=652")</f>
        <v>0</v>
      </c>
      <c r="O92" s="106">
        <f>SUMIFS('Plan prihoda za unos u SAP'!$I$3:$I$501,'Plan prihoda za unos u SAP'!$C$3:$C$501,"=71",'Plan prihoda za unos u SAP'!$K$3:$K$501,"=652")</f>
        <v>0</v>
      </c>
      <c r="P92" s="106">
        <f>SUMIFS('Plan prihoda za unos u SAP'!$I$3:$I$501,'Plan prihoda za unos u SAP'!$C$3:$C$501,"=81",'Plan prihoda za unos u SAP'!$K$3:$K$501,"=652")</f>
        <v>0</v>
      </c>
    </row>
    <row r="93" spans="1:16" s="82" customFormat="1" ht="13.8">
      <c r="A93" s="88" t="s">
        <v>800</v>
      </c>
      <c r="B93" s="89" t="s">
        <v>801</v>
      </c>
      <c r="C93" s="90">
        <f t="shared" si="17"/>
        <v>12600</v>
      </c>
      <c r="D93" s="106">
        <f>SUMIFS('Plan prihoda za unos u SAP'!$I$3:$I$501,'Plan prihoda za unos u SAP'!$C$3:$C$501,"=11",'Plan prihoda za unos u SAP'!$K$3:$K$501,"=661")</f>
        <v>0</v>
      </c>
      <c r="E93" s="106">
        <f>SUMIFS('Plan prihoda za unos u SAP'!$I$3:$I$501,'Plan prihoda za unos u SAP'!$C$3:$C$501,"=12",'Plan prihoda za unos u SAP'!$K$3:$K$501,"=661")</f>
        <v>0</v>
      </c>
      <c r="F93" s="106">
        <f>SUMIFS('Plan prihoda za unos u SAP'!$I$3:$I$501,'Plan prihoda za unos u SAP'!$C$3:$C$501,"=31",'Plan prihoda za unos u SAP'!$K$3:$K$501,"=661")</f>
        <v>12600</v>
      </c>
      <c r="G93" s="106">
        <f>SUMIFS('Plan prihoda za unos u SAP'!$I$3:$I$501,'Plan prihoda za unos u SAP'!$C$3:$C$501,"=43",'Plan prihoda za unos u SAP'!$K$3:$K$501,"=661")</f>
        <v>0</v>
      </c>
      <c r="H93" s="106">
        <f>SUMIFS('Plan prihoda za unos u SAP'!$I$3:$I$501,'Plan prihoda za unos u SAP'!$C$3:$C$501,"=51",'Plan prihoda za unos u SAP'!$K$3:$K$501,"=661")</f>
        <v>0</v>
      </c>
      <c r="I93" s="106">
        <f>SUMIFS('Plan prihoda za unos u SAP'!$I$3:$I$501,'Plan prihoda za unos u SAP'!$C$3:$C$501,"=52",'Plan prihoda za unos u SAP'!$K$3:$K$501,"=661")</f>
        <v>0</v>
      </c>
      <c r="J93" s="106">
        <f>SUMIFS('Plan prihoda za unos u SAP'!$I$3:$I$501,'Plan prihoda za unos u SAP'!$C$3:$C$501,"=559",'Plan prihoda za unos u SAP'!$K$3:$K$501,"=661")</f>
        <v>0</v>
      </c>
      <c r="K93" s="106">
        <f>SUMIFS('Plan prihoda za unos u SAP'!$I$3:$I$501,'Plan prihoda za unos u SAP'!$C$3:$C$501,"=561",'Plan prihoda za unos u SAP'!$K$3:$K$501,"=661")</f>
        <v>0</v>
      </c>
      <c r="L93" s="106">
        <f>SUMIFS('Plan prihoda za unos u SAP'!$I$3:$I$501,'Plan prihoda za unos u SAP'!$C$3:$C$501,"=563",'Plan prihoda za unos u SAP'!$K$3:$K$501,"=661")</f>
        <v>0</v>
      </c>
      <c r="M93" s="106">
        <f>SUMIFS('Plan prihoda za unos u SAP'!$I$3:$I$501,'Plan prihoda za unos u SAP'!$C$3:$C$501,"=61",'Plan prihoda za unos u SAP'!$K$3:$K$501,"=661")</f>
        <v>0</v>
      </c>
      <c r="N93" s="106">
        <f>SUMIFS('Plan prihoda za unos u SAP'!$I$3:$I$501,'Plan prihoda za unos u SAP'!$C$3:$C$501,"=63",'Plan prihoda za unos u SAP'!$K$3:$K$501,"=661")</f>
        <v>0</v>
      </c>
      <c r="O93" s="106">
        <f>SUMIFS('Plan prihoda za unos u SAP'!$I$3:$I$501,'Plan prihoda za unos u SAP'!$C$3:$C$501,"=71",'Plan prihoda za unos u SAP'!$K$3:$K$501,"=661")</f>
        <v>0</v>
      </c>
      <c r="P93" s="106">
        <f>SUMIFS('Plan prihoda za unos u SAP'!$I$3:$I$501,'Plan prihoda za unos u SAP'!$C$3:$C$501,"=81",'Plan prihoda za unos u SAP'!$K$3:$K$501,"=661")</f>
        <v>0</v>
      </c>
    </row>
    <row r="94" spans="1:16" s="82" customFormat="1" ht="13.8">
      <c r="A94" s="88" t="s">
        <v>802</v>
      </c>
      <c r="B94" s="89" t="s">
        <v>803</v>
      </c>
      <c r="C94" s="90">
        <f t="shared" si="17"/>
        <v>19000</v>
      </c>
      <c r="D94" s="106">
        <f>SUMIFS('Plan prihoda za unos u SAP'!$I$3:$I$501,'Plan prihoda za unos u SAP'!$C$3:$C$501,"=11",'Plan prihoda za unos u SAP'!$K$3:$K$501,"=663")</f>
        <v>0</v>
      </c>
      <c r="E94" s="106">
        <f>SUMIFS('Plan prihoda za unos u SAP'!$I$3:$I$501,'Plan prihoda za unos u SAP'!$C$3:$C$501,"=12",'Plan prihoda za unos u SAP'!$K$3:$K$501,"=663")</f>
        <v>0</v>
      </c>
      <c r="F94" s="106">
        <f>SUMIFS('Plan prihoda za unos u SAP'!$I$3:$I$501,'Plan prihoda za unos u SAP'!$C$3:$C$501,"=31",'Plan prihoda za unos u SAP'!$K$3:$K$501,"=663")</f>
        <v>0</v>
      </c>
      <c r="G94" s="106">
        <f>SUMIFS('Plan prihoda za unos u SAP'!$I$3:$I$501,'Plan prihoda za unos u SAP'!$C$3:$C$501,"=43",'Plan prihoda za unos u SAP'!$K$3:$K$501,"=663")</f>
        <v>0</v>
      </c>
      <c r="H94" s="106">
        <f>SUMIFS('Plan prihoda za unos u SAP'!$I$3:$I$501,'Plan prihoda za unos u SAP'!$C$3:$C$501,"=51",'Plan prihoda za unos u SAP'!$K$3:$K$501,"=663")</f>
        <v>0</v>
      </c>
      <c r="I94" s="106">
        <f>SUMIFS('Plan prihoda za unos u SAP'!$I$3:$I$501,'Plan prihoda za unos u SAP'!$C$3:$C$501,"=52",'Plan prihoda za unos u SAP'!$K$3:$K$501,"=663")</f>
        <v>0</v>
      </c>
      <c r="J94" s="106">
        <f>SUMIFS('Plan prihoda za unos u SAP'!$I$3:$I$501,'Plan prihoda za unos u SAP'!$C$3:$C$501,"=559",'Plan prihoda za unos u SAP'!$K$3:$K$501,"=663")</f>
        <v>0</v>
      </c>
      <c r="K94" s="106">
        <f>SUMIFS('Plan prihoda za unos u SAP'!$I$3:$I$501,'Plan prihoda za unos u SAP'!$C$3:$C$501,"=561",'Plan prihoda za unos u SAP'!$K$3:$K$501,"=663")</f>
        <v>0</v>
      </c>
      <c r="L94" s="106">
        <f>SUMIFS('Plan prihoda za unos u SAP'!$I$3:$I$501,'Plan prihoda za unos u SAP'!$C$3:$C$501,"=563",'Plan prihoda za unos u SAP'!$K$3:$K$501,"=663")</f>
        <v>0</v>
      </c>
      <c r="M94" s="106">
        <f>SUMIFS('Plan prihoda za unos u SAP'!$I$3:$I$501,'Plan prihoda za unos u SAP'!$C$3:$C$501,"=61",'Plan prihoda za unos u SAP'!$K$3:$K$501,"=663")</f>
        <v>19000</v>
      </c>
      <c r="N94" s="106">
        <f>SUMIFS('Plan prihoda za unos u SAP'!$I$3:$I$501,'Plan prihoda za unos u SAP'!$C$3:$C$501,"=63",'Plan prihoda za unos u SAP'!$K$3:$K$501,"=663")</f>
        <v>0</v>
      </c>
      <c r="O94" s="106">
        <f>SUMIFS('Plan prihoda za unos u SAP'!$I$3:$I$501,'Plan prihoda za unos u SAP'!$C$3:$C$501,"=71",'Plan prihoda za unos u SAP'!$K$3:$K$501,"=663")</f>
        <v>0</v>
      </c>
      <c r="P94" s="106">
        <f>SUMIFS('Plan prihoda za unos u SAP'!$I$3:$I$501,'Plan prihoda za unos u SAP'!$C$3:$C$501,"=81",'Plan prihoda za unos u SAP'!$K$3:$K$501,"=663")</f>
        <v>0</v>
      </c>
    </row>
    <row r="95" spans="1:16" s="82" customFormat="1" ht="13.8">
      <c r="A95" s="88" t="s">
        <v>804</v>
      </c>
      <c r="B95" s="119" t="s">
        <v>466</v>
      </c>
      <c r="C95" s="90">
        <f t="shared" si="17"/>
        <v>5543294</v>
      </c>
      <c r="D95" s="106">
        <f>SUMIFS('Plan prihoda za unos u SAP'!$I$3:$I$501,'Plan prihoda za unos u SAP'!$C$3:$C$501,"=11",'Plan prihoda za unos u SAP'!$K$3:$K$501,"=671")</f>
        <v>5543294</v>
      </c>
      <c r="E95" s="106">
        <f>SUMIFS('Plan prihoda za unos u SAP'!$I$3:$I$501,'Plan prihoda za unos u SAP'!$C$3:$C$501,"=12",'Plan prihoda za unos u SAP'!$K$3:$K$501,"=671")</f>
        <v>0</v>
      </c>
      <c r="F95" s="106">
        <f>SUMIFS('Plan prihoda za unos u SAP'!$I$3:$I$501,'Plan prihoda za unos u SAP'!$C$3:$C$501,"=31",'Plan prihoda za unos u SAP'!$K$3:$K$501,"=671")</f>
        <v>0</v>
      </c>
      <c r="G95" s="106">
        <f>SUMIFS('Plan prihoda za unos u SAP'!$I$3:$I$501,'Plan prihoda za unos u SAP'!$C$3:$C$501,"=43",'Plan prihoda za unos u SAP'!$K$3:$K$501,"=671")</f>
        <v>0</v>
      </c>
      <c r="H95" s="106">
        <f>SUMIFS('Plan prihoda za unos u SAP'!$I$3:$I$501,'Plan prihoda za unos u SAP'!$C$3:$C$501,"=51",'Plan prihoda za unos u SAP'!$K$3:$K$501,"=671")</f>
        <v>0</v>
      </c>
      <c r="I95" s="106">
        <f>SUMIFS('Plan prihoda za unos u SAP'!$I$3:$I$501,'Plan prihoda za unos u SAP'!$C$3:$C$501,"=52",'Plan prihoda za unos u SAP'!$K$3:$K$501,"=671")</f>
        <v>0</v>
      </c>
      <c r="J95" s="106">
        <f>SUMIFS('Plan prihoda za unos u SAP'!$I$3:$I$501,'Plan prihoda za unos u SAP'!$C$3:$C$501,"=559",'Plan prihoda za unos u SAP'!$K$3:$K$501,"=671")</f>
        <v>0</v>
      </c>
      <c r="K95" s="106">
        <f>SUMIFS('Plan prihoda za unos u SAP'!$I$3:$I$501,'Plan prihoda za unos u SAP'!$C$3:$C$501,"=561",'Plan prihoda za unos u SAP'!$K$3:$K$501,"=671")</f>
        <v>0</v>
      </c>
      <c r="L95" s="106">
        <f>SUMIFS('Plan prihoda za unos u SAP'!$I$3:$I$501,'Plan prihoda za unos u SAP'!$C$3:$C$501,"=563",'Plan prihoda za unos u SAP'!$K$3:$K$501,"=671")</f>
        <v>0</v>
      </c>
      <c r="M95" s="106">
        <f>SUMIFS('Plan prihoda za unos u SAP'!$I$3:$I$501,'Plan prihoda za unos u SAP'!$C$3:$C$501,"=61",'Plan prihoda za unos u SAP'!$K$3:$K$501,"=671")</f>
        <v>0</v>
      </c>
      <c r="N95" s="106">
        <f>SUMIFS('Plan prihoda za unos u SAP'!$I$3:$I$501,'Plan prihoda za unos u SAP'!$C$3:$C$501,"=63",'Plan prihoda za unos u SAP'!$K$3:$K$501,"=671")</f>
        <v>0</v>
      </c>
      <c r="O95" s="106">
        <f>SUMIFS('Plan prihoda za unos u SAP'!$I$3:$I$501,'Plan prihoda za unos u SAP'!$C$3:$C$501,"=71",'Plan prihoda za unos u SAP'!$K$3:$K$501,"=671")</f>
        <v>0</v>
      </c>
      <c r="P95" s="106">
        <f>SUMIFS('Plan prihoda za unos u SAP'!$I$3:$I$501,'Plan prihoda za unos u SAP'!$C$3:$C$501,"=81",'Plan prihoda za unos u SAP'!$K$3:$K$501,"=671")</f>
        <v>0</v>
      </c>
    </row>
    <row r="96" spans="1:16" s="82" customFormat="1" ht="13.8">
      <c r="A96" s="88" t="s">
        <v>805</v>
      </c>
      <c r="B96" s="89" t="s">
        <v>806</v>
      </c>
      <c r="C96" s="90">
        <f t="shared" si="17"/>
        <v>0</v>
      </c>
      <c r="D96" s="106">
        <f>SUMIFS('Plan prihoda za unos u SAP'!$I$3:$I$501,'Plan prihoda za unos u SAP'!$C$3:$C$501,"=11",'Plan prihoda za unos u SAP'!$K$3:$K$501,"=681")</f>
        <v>0</v>
      </c>
      <c r="E96" s="106">
        <f>SUMIFS('Plan prihoda za unos u SAP'!$I$3:$I$501,'Plan prihoda za unos u SAP'!$C$3:$C$501,"=12",'Plan prihoda za unos u SAP'!$K$3:$K$501,"=681")</f>
        <v>0</v>
      </c>
      <c r="F96" s="106">
        <f>SUMIFS('Plan prihoda za unos u SAP'!$I$3:$I$501,'Plan prihoda za unos u SAP'!$C$3:$C$501,"=31",'Plan prihoda za unos u SAP'!$K$3:$K$501,"=681")</f>
        <v>0</v>
      </c>
      <c r="G96" s="106">
        <f>SUMIFS('Plan prihoda za unos u SAP'!$I$3:$I$501,'Plan prihoda za unos u SAP'!$C$3:$C$501,"=43",'Plan prihoda za unos u SAP'!$K$3:$K$501,"=681")</f>
        <v>0</v>
      </c>
      <c r="H96" s="106">
        <f>SUMIFS('Plan prihoda za unos u SAP'!$I$3:$I$501,'Plan prihoda za unos u SAP'!$C$3:$C$501,"=51",'Plan prihoda za unos u SAP'!$K$3:$K$501,"=681")</f>
        <v>0</v>
      </c>
      <c r="I96" s="106">
        <f>SUMIFS('Plan prihoda za unos u SAP'!$I$3:$I$501,'Plan prihoda za unos u SAP'!$C$3:$C$501,"=52",'Plan prihoda za unos u SAP'!$K$3:$K$501,"=681")</f>
        <v>0</v>
      </c>
      <c r="J96" s="106">
        <f>SUMIFS('Plan prihoda za unos u SAP'!$I$3:$I$501,'Plan prihoda za unos u SAP'!$C$3:$C$501,"=559",'Plan prihoda za unos u SAP'!$K$3:$K$501,"=681")</f>
        <v>0</v>
      </c>
      <c r="K96" s="106">
        <f>SUMIFS('Plan prihoda za unos u SAP'!$I$3:$I$501,'Plan prihoda za unos u SAP'!$C$3:$C$501,"=561",'Plan prihoda za unos u SAP'!$K$3:$K$501,"=681")</f>
        <v>0</v>
      </c>
      <c r="L96" s="106">
        <f>SUMIFS('Plan prihoda za unos u SAP'!$I$3:$I$501,'Plan prihoda za unos u SAP'!$C$3:$C$501,"=563",'Plan prihoda za unos u SAP'!$K$3:$K$501,"=681")</f>
        <v>0</v>
      </c>
      <c r="M96" s="106">
        <f>SUMIFS('Plan prihoda za unos u SAP'!$I$3:$I$501,'Plan prihoda za unos u SAP'!$C$3:$C$501,"=61",'Plan prihoda za unos u SAP'!$K$3:$K$501,"=681")</f>
        <v>0</v>
      </c>
      <c r="N96" s="106">
        <f>SUMIFS('Plan prihoda za unos u SAP'!$I$3:$I$501,'Plan prihoda za unos u SAP'!$C$3:$C$501,"=63",'Plan prihoda za unos u SAP'!$K$3:$K$501,"=681")</f>
        <v>0</v>
      </c>
      <c r="O96" s="106">
        <f>SUMIFS('Plan prihoda za unos u SAP'!$I$3:$I$501,'Plan prihoda za unos u SAP'!$C$3:$C$501,"=71",'Plan prihoda za unos u SAP'!$K$3:$K$501,"=681")</f>
        <v>0</v>
      </c>
      <c r="P96" s="106">
        <f>SUMIFS('Plan prihoda za unos u SAP'!$I$3:$I$501,'Plan prihoda za unos u SAP'!$C$3:$C$501,"=81",'Plan prihoda za unos u SAP'!$K$3:$K$501,"=681")</f>
        <v>0</v>
      </c>
    </row>
    <row r="97" spans="1:16" s="82" customFormat="1" ht="13.8">
      <c r="A97" s="88" t="s">
        <v>807</v>
      </c>
      <c r="B97" s="89" t="s">
        <v>808</v>
      </c>
      <c r="C97" s="90">
        <f t="shared" si="17"/>
        <v>0</v>
      </c>
      <c r="D97" s="106">
        <f>SUMIFS('Plan prihoda za unos u SAP'!$I$3:$I$501,'Plan prihoda za unos u SAP'!$C$3:$C$501,"=11",'Plan prihoda za unos u SAP'!$K$3:$K$501,"=683")</f>
        <v>0</v>
      </c>
      <c r="E97" s="106">
        <f>SUMIFS('Plan prihoda za unos u SAP'!$I$3:$I$501,'Plan prihoda za unos u SAP'!$C$3:$C$501,"=12",'Plan prihoda za unos u SAP'!$K$3:$K$501,"=683")</f>
        <v>0</v>
      </c>
      <c r="F97" s="106">
        <f>SUMIFS('Plan prihoda za unos u SAP'!$I$3:$I$501,'Plan prihoda za unos u SAP'!$C$3:$C$501,"=31",'Plan prihoda za unos u SAP'!$K$3:$K$501,"=683")</f>
        <v>0</v>
      </c>
      <c r="G97" s="106">
        <f>SUMIFS('Plan prihoda za unos u SAP'!$I$3:$I$501,'Plan prihoda za unos u SAP'!$C$3:$C$501,"=43",'Plan prihoda za unos u SAP'!$K$3:$K$501,"=683")</f>
        <v>0</v>
      </c>
      <c r="H97" s="106">
        <f>SUMIFS('Plan prihoda za unos u SAP'!$I$3:$I$501,'Plan prihoda za unos u SAP'!$C$3:$C$501,"=51",'Plan prihoda za unos u SAP'!$K$3:$K$501,"=683")</f>
        <v>0</v>
      </c>
      <c r="I97" s="106">
        <f>SUMIFS('Plan prihoda za unos u SAP'!$I$3:$I$501,'Plan prihoda za unos u SAP'!$C$3:$C$501,"=52",'Plan prihoda za unos u SAP'!$K$3:$K$501,"=683")</f>
        <v>0</v>
      </c>
      <c r="J97" s="106">
        <f>SUMIFS('Plan prihoda za unos u SAP'!$I$3:$I$501,'Plan prihoda za unos u SAP'!$C$3:$C$501,"=559",'Plan prihoda za unos u SAP'!$K$3:$K$501,"=683")</f>
        <v>0</v>
      </c>
      <c r="K97" s="106">
        <f>SUMIFS('Plan prihoda za unos u SAP'!$I$3:$I$501,'Plan prihoda za unos u SAP'!$C$3:$C$501,"=561",'Plan prihoda za unos u SAP'!$K$3:$K$501,"=683")</f>
        <v>0</v>
      </c>
      <c r="L97" s="106">
        <f>SUMIFS('Plan prihoda za unos u SAP'!$I$3:$I$501,'Plan prihoda za unos u SAP'!$C$3:$C$501,"=563",'Plan prihoda za unos u SAP'!$K$3:$K$501,"=683")</f>
        <v>0</v>
      </c>
      <c r="M97" s="106">
        <f>SUMIFS('Plan prihoda za unos u SAP'!$I$3:$I$501,'Plan prihoda za unos u SAP'!$C$3:$C$501,"=61",'Plan prihoda za unos u SAP'!$K$3:$K$501,"=683")</f>
        <v>0</v>
      </c>
      <c r="N97" s="106">
        <f>SUMIFS('Plan prihoda za unos u SAP'!$I$3:$I$501,'Plan prihoda za unos u SAP'!$C$3:$C$501,"=63",'Plan prihoda za unos u SAP'!$K$3:$K$501,"=683")</f>
        <v>0</v>
      </c>
      <c r="O97" s="106">
        <f>SUMIFS('Plan prihoda za unos u SAP'!$I$3:$I$501,'Plan prihoda za unos u SAP'!$C$3:$C$501,"=71",'Plan prihoda za unos u SAP'!$K$3:$K$501,"=683")</f>
        <v>0</v>
      </c>
      <c r="P97" s="106">
        <f>SUMIFS('Plan prihoda za unos u SAP'!$I$3:$I$501,'Plan prihoda za unos u SAP'!$C$3:$C$501,"=81",'Plan prihoda za unos u SAP'!$K$3:$K$501,"=683")</f>
        <v>0</v>
      </c>
    </row>
    <row r="98" spans="1:16" s="82" customFormat="1" ht="13.8">
      <c r="A98" s="108" t="s">
        <v>809</v>
      </c>
      <c r="B98" s="109" t="s">
        <v>810</v>
      </c>
      <c r="C98" s="90">
        <f t="shared" si="17"/>
        <v>5625194</v>
      </c>
      <c r="D98" s="110">
        <f t="shared" ref="D98:P98" si="22">SUM(D83:D97)</f>
        <v>5543294</v>
      </c>
      <c r="E98" s="110">
        <f t="shared" si="22"/>
        <v>0</v>
      </c>
      <c r="F98" s="110">
        <f t="shared" si="22"/>
        <v>12900</v>
      </c>
      <c r="G98" s="110">
        <f t="shared" si="22"/>
        <v>0</v>
      </c>
      <c r="H98" s="110">
        <f t="shared" si="22"/>
        <v>0</v>
      </c>
      <c r="I98" s="110">
        <f t="shared" si="22"/>
        <v>50000</v>
      </c>
      <c r="J98" s="110">
        <f t="shared" si="22"/>
        <v>0</v>
      </c>
      <c r="K98" s="110">
        <f t="shared" si="22"/>
        <v>0</v>
      </c>
      <c r="L98" s="110">
        <f t="shared" si="22"/>
        <v>0</v>
      </c>
      <c r="M98" s="110">
        <f t="shared" si="22"/>
        <v>19000</v>
      </c>
      <c r="N98" s="110">
        <f t="shared" si="22"/>
        <v>0</v>
      </c>
      <c r="O98" s="110">
        <f t="shared" si="22"/>
        <v>0</v>
      </c>
      <c r="P98" s="110">
        <f t="shared" si="22"/>
        <v>0</v>
      </c>
    </row>
    <row r="99" spans="1:16" s="82" customFormat="1" ht="13.8">
      <c r="A99" s="88" t="s">
        <v>811</v>
      </c>
      <c r="B99" s="111" t="s">
        <v>812</v>
      </c>
      <c r="C99" s="90">
        <f t="shared" si="17"/>
        <v>0</v>
      </c>
      <c r="D99" s="106">
        <f>SUMIFS('Plan prihoda za unos u SAP'!$I$3:$I$501,'Plan prihoda za unos u SAP'!$C$3:$C$501,"=11",'Plan prihoda za unos u SAP'!$K$3:$K$501,"=711")</f>
        <v>0</v>
      </c>
      <c r="E99" s="106">
        <f>SUMIFS('Plan prihoda za unos u SAP'!$I$3:$I$501,'Plan prihoda za unos u SAP'!$C$3:$C$501,"=12",'Plan prihoda za unos u SAP'!$K$3:$K$501,"=711")</f>
        <v>0</v>
      </c>
      <c r="F99" s="106">
        <f>SUMIFS('Plan prihoda za unos u SAP'!$I$3:$I$501,'Plan prihoda za unos u SAP'!$C$3:$C$501,"=31",'Plan prihoda za unos u SAP'!$K$3:$K$501,"=711")</f>
        <v>0</v>
      </c>
      <c r="G99" s="106">
        <f>SUMIFS('Plan prihoda za unos u SAP'!$I$3:$I$501,'Plan prihoda za unos u SAP'!$C$3:$C$501,"=43",'Plan prihoda za unos u SAP'!$K$3:$K$501,"=711")</f>
        <v>0</v>
      </c>
      <c r="H99" s="106">
        <f>SUMIFS('Plan prihoda za unos u SAP'!$I$3:$I$501,'Plan prihoda za unos u SAP'!$C$3:$C$501,"=51",'Plan prihoda za unos u SAP'!$K$3:$K$501,"=711")</f>
        <v>0</v>
      </c>
      <c r="I99" s="106">
        <f>SUMIFS('Plan prihoda za unos u SAP'!$I$3:$I$501,'Plan prihoda za unos u SAP'!$C$3:$C$501,"=52",'Plan prihoda za unos u SAP'!$K$3:$K$501,"=711")</f>
        <v>0</v>
      </c>
      <c r="J99" s="106">
        <f>SUMIFS('Plan prihoda za unos u SAP'!$I$3:$I$501,'Plan prihoda za unos u SAP'!$C$3:$C$501,"=559",'Plan prihoda za unos u SAP'!$K$3:$K$501,"=711")</f>
        <v>0</v>
      </c>
      <c r="K99" s="106">
        <f>SUMIFS('Plan prihoda za unos u SAP'!$I$3:$I$501,'Plan prihoda za unos u SAP'!$C$3:$C$501,"=561",'Plan prihoda za unos u SAP'!$K$3:$K$501,"=711")</f>
        <v>0</v>
      </c>
      <c r="L99" s="106">
        <f>SUMIFS('Plan prihoda za unos u SAP'!$I$3:$I$501,'Plan prihoda za unos u SAP'!$C$3:$C$501,"=563",'Plan prihoda za unos u SAP'!$K$3:$K$501,"=711")</f>
        <v>0</v>
      </c>
      <c r="M99" s="106">
        <f>SUMIFS('Plan prihoda za unos u SAP'!$I$3:$I$501,'Plan prihoda za unos u SAP'!$C$3:$C$501,"=61",'Plan prihoda za unos u SAP'!$K$3:$K$501,"=711")</f>
        <v>0</v>
      </c>
      <c r="N99" s="106">
        <f>SUMIFS('Plan prihoda za unos u SAP'!$I$3:$I$501,'Plan prihoda za unos u SAP'!$C$3:$C$501,"=63",'Plan prihoda za unos u SAP'!$K$3:$K$501,"=711")</f>
        <v>0</v>
      </c>
      <c r="O99" s="106">
        <f>SUMIFS('Plan prihoda za unos u SAP'!$I$3:$I$501,'Plan prihoda za unos u SAP'!$C$3:$C$501,"=71",'Plan prihoda za unos u SAP'!$K$3:$K$501,"=711")</f>
        <v>0</v>
      </c>
      <c r="P99" s="106">
        <f>SUMIFS('Plan prihoda za unos u SAP'!$I$3:$I$501,'Plan prihoda za unos u SAP'!$C$3:$C$501,"=81",'Plan prihoda za unos u SAP'!$K$3:$K$501,"=711")</f>
        <v>0</v>
      </c>
    </row>
    <row r="100" spans="1:16" s="82" customFormat="1" ht="13.8">
      <c r="A100" s="88" t="s">
        <v>813</v>
      </c>
      <c r="B100" s="111" t="s">
        <v>814</v>
      </c>
      <c r="C100" s="90">
        <f t="shared" si="17"/>
        <v>0</v>
      </c>
      <c r="D100" s="106">
        <f>SUMIFS('Plan prihoda za unos u SAP'!$I$3:$I$501,'Plan prihoda za unos u SAP'!$C$3:$C$501,"=11",'Plan prihoda za unos u SAP'!$K$3:$K$501,"=712")</f>
        <v>0</v>
      </c>
      <c r="E100" s="106">
        <f>SUMIFS('Plan prihoda za unos u SAP'!$I$3:$I$501,'Plan prihoda za unos u SAP'!$C$3:$C$501,"=12",'Plan prihoda za unos u SAP'!$K$3:$K$501,"=712")</f>
        <v>0</v>
      </c>
      <c r="F100" s="106">
        <f>SUMIFS('Plan prihoda za unos u SAP'!$I$3:$I$501,'Plan prihoda za unos u SAP'!$C$3:$C$501,"=31",'Plan prihoda za unos u SAP'!$K$3:$K$501,"=712")</f>
        <v>0</v>
      </c>
      <c r="G100" s="106">
        <f>SUMIFS('Plan prihoda za unos u SAP'!$I$3:$I$501,'Plan prihoda za unos u SAP'!$C$3:$C$501,"=43",'Plan prihoda za unos u SAP'!$K$3:$K$501,"=712")</f>
        <v>0</v>
      </c>
      <c r="H100" s="106">
        <f>SUMIFS('Plan prihoda za unos u SAP'!$I$3:$I$501,'Plan prihoda za unos u SAP'!$C$3:$C$501,"=51",'Plan prihoda za unos u SAP'!$K$3:$K$501,"=712")</f>
        <v>0</v>
      </c>
      <c r="I100" s="106">
        <f>SUMIFS('Plan prihoda za unos u SAP'!$I$3:$I$501,'Plan prihoda za unos u SAP'!$C$3:$C$501,"=52",'Plan prihoda za unos u SAP'!$K$3:$K$501,"=712")</f>
        <v>0</v>
      </c>
      <c r="J100" s="106">
        <f>SUMIFS('Plan prihoda za unos u SAP'!$I$3:$I$501,'Plan prihoda za unos u SAP'!$C$3:$C$501,"=559",'Plan prihoda za unos u SAP'!$K$3:$K$501,"=712")</f>
        <v>0</v>
      </c>
      <c r="K100" s="106">
        <f>SUMIFS('Plan prihoda za unos u SAP'!$I$3:$I$501,'Plan prihoda za unos u SAP'!$C$3:$C$501,"=561",'Plan prihoda za unos u SAP'!$K$3:$K$501,"=712")</f>
        <v>0</v>
      </c>
      <c r="L100" s="106">
        <f>SUMIFS('Plan prihoda za unos u SAP'!$I$3:$I$501,'Plan prihoda za unos u SAP'!$C$3:$C$501,"=563",'Plan prihoda za unos u SAP'!$K$3:$K$501,"=712")</f>
        <v>0</v>
      </c>
      <c r="M100" s="106">
        <f>SUMIFS('Plan prihoda za unos u SAP'!$I$3:$I$501,'Plan prihoda za unos u SAP'!$C$3:$C$501,"=61",'Plan prihoda za unos u SAP'!$K$3:$K$501,"=712")</f>
        <v>0</v>
      </c>
      <c r="N100" s="106">
        <f>SUMIFS('Plan prihoda za unos u SAP'!$I$3:$I$501,'Plan prihoda za unos u SAP'!$C$3:$C$501,"=63",'Plan prihoda za unos u SAP'!$K$3:$K$501,"=712")</f>
        <v>0</v>
      </c>
      <c r="O100" s="106">
        <f>SUMIFS('Plan prihoda za unos u SAP'!$I$3:$I$501,'Plan prihoda za unos u SAP'!$C$3:$C$501,"=71",'Plan prihoda za unos u SAP'!$K$3:$K$501,"=712")</f>
        <v>0</v>
      </c>
      <c r="P100" s="106">
        <f>SUMIFS('Plan prihoda za unos u SAP'!$I$3:$I$501,'Plan prihoda za unos u SAP'!$C$3:$C$501,"=81",'Plan prihoda za unos u SAP'!$K$3:$K$501,"=712")</f>
        <v>0</v>
      </c>
    </row>
    <row r="101" spans="1:16" s="82" customFormat="1" ht="13.8">
      <c r="A101" s="88" t="s">
        <v>815</v>
      </c>
      <c r="B101" s="111" t="s">
        <v>816</v>
      </c>
      <c r="C101" s="90">
        <f t="shared" si="17"/>
        <v>0</v>
      </c>
      <c r="D101" s="106">
        <f>SUMIFS('Plan prihoda za unos u SAP'!$I$3:$I$501,'Plan prihoda za unos u SAP'!$C$3:$C$501,"=11",'Plan prihoda za unos u SAP'!$K$3:$K$501,"=721")</f>
        <v>0</v>
      </c>
      <c r="E101" s="106">
        <f>SUMIFS('Plan prihoda za unos u SAP'!$I$3:$I$501,'Plan prihoda za unos u SAP'!$C$3:$C$501,"=12",'Plan prihoda za unos u SAP'!$K$3:$K$501,"=721")</f>
        <v>0</v>
      </c>
      <c r="F101" s="106">
        <f>SUMIFS('Plan prihoda za unos u SAP'!$I$3:$I$501,'Plan prihoda za unos u SAP'!$C$3:$C$501,"=31",'Plan prihoda za unos u SAP'!$K$3:$K$501,"=721")</f>
        <v>0</v>
      </c>
      <c r="G101" s="106">
        <f>SUMIFS('Plan prihoda za unos u SAP'!$I$3:$I$501,'Plan prihoda za unos u SAP'!$C$3:$C$501,"=43",'Plan prihoda za unos u SAP'!$K$3:$K$501,"=721")</f>
        <v>0</v>
      </c>
      <c r="H101" s="106">
        <f>SUMIFS('Plan prihoda za unos u SAP'!$I$3:$I$501,'Plan prihoda za unos u SAP'!$C$3:$C$501,"=51",'Plan prihoda za unos u SAP'!$K$3:$K$501,"=721")</f>
        <v>0</v>
      </c>
      <c r="I101" s="106">
        <f>SUMIFS('Plan prihoda za unos u SAP'!$I$3:$I$501,'Plan prihoda za unos u SAP'!$C$3:$C$501,"=52",'Plan prihoda za unos u SAP'!$K$3:$K$501,"=721")</f>
        <v>0</v>
      </c>
      <c r="J101" s="106">
        <f>SUMIFS('Plan prihoda za unos u SAP'!$I$3:$I$501,'Plan prihoda za unos u SAP'!$C$3:$C$501,"=559",'Plan prihoda za unos u SAP'!$K$3:$K$501,"=721")</f>
        <v>0</v>
      </c>
      <c r="K101" s="106">
        <f>SUMIFS('Plan prihoda za unos u SAP'!$I$3:$I$501,'Plan prihoda za unos u SAP'!$C$3:$C$501,"=561",'Plan prihoda za unos u SAP'!$K$3:$K$501,"=721")</f>
        <v>0</v>
      </c>
      <c r="L101" s="106">
        <f>SUMIFS('Plan prihoda za unos u SAP'!$I$3:$I$501,'Plan prihoda za unos u SAP'!$C$3:$C$501,"=563",'Plan prihoda za unos u SAP'!$K$3:$K$501,"=721")</f>
        <v>0</v>
      </c>
      <c r="M101" s="106">
        <f>SUMIFS('Plan prihoda za unos u SAP'!$I$3:$I$501,'Plan prihoda za unos u SAP'!$C$3:$C$501,"=61",'Plan prihoda za unos u SAP'!$K$3:$K$501,"=721")</f>
        <v>0</v>
      </c>
      <c r="N101" s="106">
        <f>SUMIFS('Plan prihoda za unos u SAP'!$I$3:$I$501,'Plan prihoda za unos u SAP'!$C$3:$C$501,"=63",'Plan prihoda za unos u SAP'!$K$3:$K$501,"=721")</f>
        <v>0</v>
      </c>
      <c r="O101" s="106">
        <f>SUMIFS('Plan prihoda za unos u SAP'!$I$3:$I$501,'Plan prihoda za unos u SAP'!$C$3:$C$501,"=71",'Plan prihoda za unos u SAP'!$K$3:$K$501,"=721")</f>
        <v>0</v>
      </c>
      <c r="P101" s="106">
        <f>SUMIFS('Plan prihoda za unos u SAP'!$I$3:$I$501,'Plan prihoda za unos u SAP'!$C$3:$C$501,"=81",'Plan prihoda za unos u SAP'!$K$3:$K$501,"=721")</f>
        <v>0</v>
      </c>
    </row>
    <row r="102" spans="1:16" s="82" customFormat="1" ht="13.8">
      <c r="A102" s="88" t="s">
        <v>817</v>
      </c>
      <c r="B102" s="111" t="s">
        <v>818</v>
      </c>
      <c r="C102" s="90">
        <f t="shared" si="17"/>
        <v>0</v>
      </c>
      <c r="D102" s="106">
        <f>SUMIFS('Plan prihoda za unos u SAP'!$I$3:$I$501,'Plan prihoda za unos u SAP'!$C$3:$C$501,"=11",'Plan prihoda za unos u SAP'!$K$3:$K$501,"=722")</f>
        <v>0</v>
      </c>
      <c r="E102" s="106">
        <f>SUMIFS('Plan prihoda za unos u SAP'!$I$3:$I$501,'Plan prihoda za unos u SAP'!$C$3:$C$501,"=12",'Plan prihoda za unos u SAP'!$K$3:$K$501,"=722")</f>
        <v>0</v>
      </c>
      <c r="F102" s="106">
        <f>SUMIFS('Plan prihoda za unos u SAP'!$I$3:$I$501,'Plan prihoda za unos u SAP'!$C$3:$C$501,"=31",'Plan prihoda za unos u SAP'!$K$3:$K$501,"=722")</f>
        <v>0</v>
      </c>
      <c r="G102" s="106">
        <f>SUMIFS('Plan prihoda za unos u SAP'!$I$3:$I$501,'Plan prihoda za unos u SAP'!$C$3:$C$501,"=43",'Plan prihoda za unos u SAP'!$K$3:$K$501,"=722")</f>
        <v>0</v>
      </c>
      <c r="H102" s="106">
        <f>SUMIFS('Plan prihoda za unos u SAP'!$I$3:$I$501,'Plan prihoda za unos u SAP'!$C$3:$C$501,"=51",'Plan prihoda za unos u SAP'!$K$3:$K$501,"=722")</f>
        <v>0</v>
      </c>
      <c r="I102" s="106">
        <f>SUMIFS('Plan prihoda za unos u SAP'!$I$3:$I$501,'Plan prihoda za unos u SAP'!$C$3:$C$501,"=52",'Plan prihoda za unos u SAP'!$K$3:$K$501,"=722")</f>
        <v>0</v>
      </c>
      <c r="J102" s="106">
        <f>SUMIFS('Plan prihoda za unos u SAP'!$I$3:$I$501,'Plan prihoda za unos u SAP'!$C$3:$C$501,"=559",'Plan prihoda za unos u SAP'!$K$3:$K$501,"=722")</f>
        <v>0</v>
      </c>
      <c r="K102" s="106">
        <f>SUMIFS('Plan prihoda za unos u SAP'!$I$3:$I$501,'Plan prihoda za unos u SAP'!$C$3:$C$501,"=561",'Plan prihoda za unos u SAP'!$K$3:$K$501,"=722")</f>
        <v>0</v>
      </c>
      <c r="L102" s="106">
        <f>SUMIFS('Plan prihoda za unos u SAP'!$I$3:$I$501,'Plan prihoda za unos u SAP'!$C$3:$C$501,"=563",'Plan prihoda za unos u SAP'!$K$3:$K$501,"=722")</f>
        <v>0</v>
      </c>
      <c r="M102" s="106">
        <f>SUMIFS('Plan prihoda za unos u SAP'!$I$3:$I$501,'Plan prihoda za unos u SAP'!$C$3:$C$501,"=61",'Plan prihoda za unos u SAP'!$K$3:$K$501,"=722")</f>
        <v>0</v>
      </c>
      <c r="N102" s="106">
        <f>SUMIFS('Plan prihoda za unos u SAP'!$I$3:$I$501,'Plan prihoda za unos u SAP'!$C$3:$C$501,"=63",'Plan prihoda za unos u SAP'!$K$3:$K$501,"=722")</f>
        <v>0</v>
      </c>
      <c r="O102" s="106">
        <f>SUMIFS('Plan prihoda za unos u SAP'!$I$3:$I$501,'Plan prihoda za unos u SAP'!$C$3:$C$501,"=71",'Plan prihoda za unos u SAP'!$K$3:$K$501,"=722")</f>
        <v>0</v>
      </c>
      <c r="P102" s="106">
        <f>SUMIFS('Plan prihoda za unos u SAP'!$I$3:$I$501,'Plan prihoda za unos u SAP'!$C$3:$C$501,"=81",'Plan prihoda za unos u SAP'!$K$3:$K$501,"=722")</f>
        <v>0</v>
      </c>
    </row>
    <row r="103" spans="1:16" s="82" customFormat="1" ht="13.8">
      <c r="A103" s="88" t="s">
        <v>819</v>
      </c>
      <c r="B103" s="111" t="s">
        <v>820</v>
      </c>
      <c r="C103" s="90">
        <f t="shared" si="17"/>
        <v>0</v>
      </c>
      <c r="D103" s="106">
        <f>SUMIFS('Plan prihoda za unos u SAP'!$I$3:$I$501,'Plan prihoda za unos u SAP'!$C$3:$C$501,"=11",'Plan prihoda za unos u SAP'!$K$3:$K$501,"=723")</f>
        <v>0</v>
      </c>
      <c r="E103" s="106">
        <f>SUMIFS('Plan prihoda za unos u SAP'!$I$3:$I$501,'Plan prihoda za unos u SAP'!$C$3:$C$501,"=12",'Plan prihoda za unos u SAP'!$K$3:$K$501,"=723")</f>
        <v>0</v>
      </c>
      <c r="F103" s="106">
        <f>SUMIFS('Plan prihoda za unos u SAP'!$I$3:$I$501,'Plan prihoda za unos u SAP'!$C$3:$C$501,"=31",'Plan prihoda za unos u SAP'!$K$3:$K$501,"=723")</f>
        <v>0</v>
      </c>
      <c r="G103" s="106">
        <f>SUMIFS('Plan prihoda za unos u SAP'!$I$3:$I$501,'Plan prihoda za unos u SAP'!$C$3:$C$501,"=43",'Plan prihoda za unos u SAP'!$K$3:$K$501,"=723")</f>
        <v>0</v>
      </c>
      <c r="H103" s="106">
        <f>SUMIFS('Plan prihoda za unos u SAP'!$I$3:$I$501,'Plan prihoda za unos u SAP'!$C$3:$C$501,"=51",'Plan prihoda za unos u SAP'!$K$3:$K$501,"=723")</f>
        <v>0</v>
      </c>
      <c r="I103" s="106">
        <f>SUMIFS('Plan prihoda za unos u SAP'!$I$3:$I$501,'Plan prihoda za unos u SAP'!$C$3:$C$501,"=52",'Plan prihoda za unos u SAP'!$K$3:$K$501,"=723")</f>
        <v>0</v>
      </c>
      <c r="J103" s="106">
        <f>SUMIFS('Plan prihoda za unos u SAP'!$I$3:$I$501,'Plan prihoda za unos u SAP'!$C$3:$C$501,"=559",'Plan prihoda za unos u SAP'!$K$3:$K$501,"=723")</f>
        <v>0</v>
      </c>
      <c r="K103" s="106">
        <f>SUMIFS('Plan prihoda za unos u SAP'!$I$3:$I$501,'Plan prihoda za unos u SAP'!$C$3:$C$501,"=561",'Plan prihoda za unos u SAP'!$K$3:$K$501,"=723")</f>
        <v>0</v>
      </c>
      <c r="L103" s="106">
        <f>SUMIFS('Plan prihoda za unos u SAP'!$I$3:$I$501,'Plan prihoda za unos u SAP'!$C$3:$C$501,"=563",'Plan prihoda za unos u SAP'!$K$3:$K$501,"=723")</f>
        <v>0</v>
      </c>
      <c r="M103" s="106">
        <f>SUMIFS('Plan prihoda za unos u SAP'!$I$3:$I$501,'Plan prihoda za unos u SAP'!$C$3:$C$501,"=61",'Plan prihoda za unos u SAP'!$K$3:$K$501,"=723")</f>
        <v>0</v>
      </c>
      <c r="N103" s="106">
        <f>SUMIFS('Plan prihoda za unos u SAP'!$I$3:$I$501,'Plan prihoda za unos u SAP'!$C$3:$C$501,"=63",'Plan prihoda za unos u SAP'!$K$3:$K$501,"=723")</f>
        <v>0</v>
      </c>
      <c r="O103" s="106">
        <f>SUMIFS('Plan prihoda za unos u SAP'!$I$3:$I$501,'Plan prihoda za unos u SAP'!$C$3:$C$501,"=71",'Plan prihoda za unos u SAP'!$K$3:$K$501,"=723")</f>
        <v>0</v>
      </c>
      <c r="P103" s="106">
        <f>SUMIFS('Plan prihoda za unos u SAP'!$I$3:$I$501,'Plan prihoda za unos u SAP'!$C$3:$C$501,"=81",'Plan prihoda za unos u SAP'!$K$3:$K$501,"=723")</f>
        <v>0</v>
      </c>
    </row>
    <row r="104" spans="1:16" s="82" customFormat="1" ht="13.8">
      <c r="A104" s="88" t="s">
        <v>821</v>
      </c>
      <c r="B104" s="111" t="s">
        <v>822</v>
      </c>
      <c r="C104" s="90">
        <f t="shared" si="17"/>
        <v>0</v>
      </c>
      <c r="D104" s="106">
        <f>SUMIFS('Plan prihoda za unos u SAP'!$I$3:$I$501,'Plan prihoda za unos u SAP'!$C$3:$C$501,"=11",'Plan prihoda za unos u SAP'!$K$3:$K$501,"=725")</f>
        <v>0</v>
      </c>
      <c r="E104" s="106">
        <f>SUMIFS('Plan prihoda za unos u SAP'!$I$3:$I$501,'Plan prihoda za unos u SAP'!$C$3:$C$501,"=12",'Plan prihoda za unos u SAP'!$K$3:$K$501,"=725")</f>
        <v>0</v>
      </c>
      <c r="F104" s="106">
        <f>SUMIFS('Plan prihoda za unos u SAP'!$I$3:$I$501,'Plan prihoda za unos u SAP'!$C$3:$C$501,"=31",'Plan prihoda za unos u SAP'!$K$3:$K$501,"=725")</f>
        <v>0</v>
      </c>
      <c r="G104" s="106">
        <f>SUMIFS('Plan prihoda za unos u SAP'!$I$3:$I$501,'Plan prihoda za unos u SAP'!$C$3:$C$501,"=43",'Plan prihoda za unos u SAP'!$K$3:$K$501,"=725")</f>
        <v>0</v>
      </c>
      <c r="H104" s="106">
        <f>SUMIFS('Plan prihoda za unos u SAP'!$I$3:$I$501,'Plan prihoda za unos u SAP'!$C$3:$C$501,"=51",'Plan prihoda za unos u SAP'!$K$3:$K$501,"=725")</f>
        <v>0</v>
      </c>
      <c r="I104" s="106">
        <f>SUMIFS('Plan prihoda za unos u SAP'!$I$3:$I$501,'Plan prihoda za unos u SAP'!$C$3:$C$501,"=52",'Plan prihoda za unos u SAP'!$K$3:$K$501,"=725")</f>
        <v>0</v>
      </c>
      <c r="J104" s="106">
        <f>SUMIFS('Plan prihoda za unos u SAP'!$I$3:$I$501,'Plan prihoda za unos u SAP'!$C$3:$C$501,"=559",'Plan prihoda za unos u SAP'!$K$3:$K$501,"=725")</f>
        <v>0</v>
      </c>
      <c r="K104" s="106">
        <f>SUMIFS('Plan prihoda za unos u SAP'!$I$3:$I$501,'Plan prihoda za unos u SAP'!$C$3:$C$501,"=561",'Plan prihoda za unos u SAP'!$K$3:$K$501,"=725")</f>
        <v>0</v>
      </c>
      <c r="L104" s="106">
        <f>SUMIFS('Plan prihoda za unos u SAP'!$I$3:$I$501,'Plan prihoda za unos u SAP'!$C$3:$C$501,"=563",'Plan prihoda za unos u SAP'!$K$3:$K$501,"=725")</f>
        <v>0</v>
      </c>
      <c r="M104" s="106">
        <f>SUMIFS('Plan prihoda za unos u SAP'!$I$3:$I$501,'Plan prihoda za unos u SAP'!$C$3:$C$501,"=61",'Plan prihoda za unos u SAP'!$K$3:$K$501,"=725")</f>
        <v>0</v>
      </c>
      <c r="N104" s="106">
        <f>SUMIFS('Plan prihoda za unos u SAP'!$I$3:$I$501,'Plan prihoda za unos u SAP'!$C$3:$C$501,"=63",'Plan prihoda za unos u SAP'!$K$3:$K$501,"=725")</f>
        <v>0</v>
      </c>
      <c r="O104" s="106">
        <f>SUMIFS('Plan prihoda za unos u SAP'!$I$3:$I$501,'Plan prihoda za unos u SAP'!$C$3:$C$501,"=71",'Plan prihoda za unos u SAP'!$K$3:$K$501,"=725")</f>
        <v>0</v>
      </c>
      <c r="P104" s="106">
        <f>SUMIFS('Plan prihoda za unos u SAP'!$I$3:$I$501,'Plan prihoda za unos u SAP'!$C$3:$C$501,"=81",'Plan prihoda za unos u SAP'!$K$3:$K$501,"=725")</f>
        <v>0</v>
      </c>
    </row>
    <row r="105" spans="1:16" s="82" customFormat="1" ht="13.8">
      <c r="A105" s="108" t="s">
        <v>823</v>
      </c>
      <c r="B105" s="109" t="s">
        <v>810</v>
      </c>
      <c r="C105" s="90">
        <f t="shared" si="17"/>
        <v>0</v>
      </c>
      <c r="D105" s="110">
        <f t="shared" ref="D105:P105" si="23">SUM(D99:D104)</f>
        <v>0</v>
      </c>
      <c r="E105" s="110">
        <f t="shared" si="23"/>
        <v>0</v>
      </c>
      <c r="F105" s="110">
        <f t="shared" si="23"/>
        <v>0</v>
      </c>
      <c r="G105" s="110">
        <f t="shared" si="23"/>
        <v>0</v>
      </c>
      <c r="H105" s="110">
        <f t="shared" si="23"/>
        <v>0</v>
      </c>
      <c r="I105" s="110">
        <f t="shared" si="23"/>
        <v>0</v>
      </c>
      <c r="J105" s="110">
        <f t="shared" si="23"/>
        <v>0</v>
      </c>
      <c r="K105" s="110">
        <f t="shared" si="23"/>
        <v>0</v>
      </c>
      <c r="L105" s="110">
        <f t="shared" si="23"/>
        <v>0</v>
      </c>
      <c r="M105" s="110">
        <f t="shared" si="23"/>
        <v>0</v>
      </c>
      <c r="N105" s="110">
        <f t="shared" si="23"/>
        <v>0</v>
      </c>
      <c r="O105" s="110">
        <f t="shared" si="23"/>
        <v>0</v>
      </c>
      <c r="P105" s="110">
        <f t="shared" si="23"/>
        <v>0</v>
      </c>
    </row>
    <row r="106" spans="1:16" s="82" customFormat="1" ht="27.6">
      <c r="A106" s="112">
        <v>812</v>
      </c>
      <c r="B106" s="113" t="s">
        <v>824</v>
      </c>
      <c r="C106" s="90">
        <f t="shared" si="17"/>
        <v>0</v>
      </c>
      <c r="D106" s="106">
        <f>SUMIFS('Plan prihoda za unos u SAP'!$I$3:$I$501,'Plan prihoda za unos u SAP'!$C$3:$C$501,"=11",'Plan prihoda za unos u SAP'!$K$3:$K$501,"=812")</f>
        <v>0</v>
      </c>
      <c r="E106" s="106">
        <f>SUMIFS('Plan prihoda za unos u SAP'!$I$3:$I$501,'Plan prihoda za unos u SAP'!$C$3:$C$501,"=12",'Plan prihoda za unos u SAP'!$K$3:$K$501,"=812")</f>
        <v>0</v>
      </c>
      <c r="F106" s="106">
        <f>SUMIFS('Plan prihoda za unos u SAP'!$I$3:$I$501,'Plan prihoda za unos u SAP'!$C$3:$C$501,"=31",'Plan prihoda za unos u SAP'!$K$3:$K$501,"=812")</f>
        <v>0</v>
      </c>
      <c r="G106" s="106">
        <f>SUMIFS('Plan prihoda za unos u SAP'!$I$3:$I$501,'Plan prihoda za unos u SAP'!$C$3:$C$501,"=43",'Plan prihoda za unos u SAP'!$K$3:$K$501,"=812")</f>
        <v>0</v>
      </c>
      <c r="H106" s="106">
        <f>SUMIFS('Plan prihoda za unos u SAP'!$I$3:$I$501,'Plan prihoda za unos u SAP'!$C$3:$C$501,"=51",'Plan prihoda za unos u SAP'!$K$3:$K$501,"=812")</f>
        <v>0</v>
      </c>
      <c r="I106" s="106">
        <f>SUMIFS('Plan prihoda za unos u SAP'!$I$3:$I$501,'Plan prihoda za unos u SAP'!$C$3:$C$501,"=52",'Plan prihoda za unos u SAP'!$K$3:$K$501,"=812")</f>
        <v>0</v>
      </c>
      <c r="J106" s="106">
        <f>SUMIFS('Plan prihoda za unos u SAP'!$I$3:$I$501,'Plan prihoda za unos u SAP'!$C$3:$C$501,"=559",'Plan prihoda za unos u SAP'!$K$3:$K$501,"=812")</f>
        <v>0</v>
      </c>
      <c r="K106" s="106">
        <f>SUMIFS('Plan prihoda za unos u SAP'!$I$3:$I$501,'Plan prihoda za unos u SAP'!$C$3:$C$501,"=561",'Plan prihoda za unos u SAP'!$K$3:$K$501,"=812")</f>
        <v>0</v>
      </c>
      <c r="L106" s="106">
        <f>SUMIFS('Plan prihoda za unos u SAP'!$I$3:$I$501,'Plan prihoda za unos u SAP'!$C$3:$C$501,"=563",'Plan prihoda za unos u SAP'!$K$3:$K$501,"=812")</f>
        <v>0</v>
      </c>
      <c r="M106" s="106">
        <f>SUMIFS('Plan prihoda za unos u SAP'!$I$3:$I$501,'Plan prihoda za unos u SAP'!$C$3:$C$501,"=61",'Plan prihoda za unos u SAP'!$K$3:$K$501,"=812")</f>
        <v>0</v>
      </c>
      <c r="N106" s="106">
        <f>SUMIFS('Plan prihoda za unos u SAP'!$I$3:$I$501,'Plan prihoda za unos u SAP'!$C$3:$C$501,"=63",'Plan prihoda za unos u SAP'!$K$3:$K$501,"=812")</f>
        <v>0</v>
      </c>
      <c r="O106" s="106">
        <f>SUMIFS('Plan prihoda za unos u SAP'!$I$3:$I$501,'Plan prihoda za unos u SAP'!$C$3:$C$501,"=71",'Plan prihoda za unos u SAP'!$K$3:$K$501,"=812")</f>
        <v>0</v>
      </c>
      <c r="P106" s="106">
        <f>SUMIFS('Plan prihoda za unos u SAP'!$I$3:$I$501,'Plan prihoda za unos u SAP'!$C$3:$C$501,"=81",'Plan prihoda za unos u SAP'!$K$3:$K$501,"=812")</f>
        <v>0</v>
      </c>
    </row>
    <row r="107" spans="1:16" s="82" customFormat="1" ht="13.8">
      <c r="A107" s="112"/>
      <c r="B107" s="113"/>
      <c r="C107" s="90">
        <f t="shared" si="17"/>
        <v>0</v>
      </c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</row>
    <row r="108" spans="1:16" s="82" customFormat="1" ht="13.8">
      <c r="A108" s="108" t="s">
        <v>826</v>
      </c>
      <c r="B108" s="109" t="s">
        <v>810</v>
      </c>
      <c r="C108" s="90">
        <f t="shared" si="17"/>
        <v>0</v>
      </c>
      <c r="D108" s="110">
        <f t="shared" ref="D108:P108" si="24">SUM(D106:D107)</f>
        <v>0</v>
      </c>
      <c r="E108" s="110">
        <f t="shared" si="24"/>
        <v>0</v>
      </c>
      <c r="F108" s="110">
        <f t="shared" si="24"/>
        <v>0</v>
      </c>
      <c r="G108" s="110">
        <f t="shared" si="24"/>
        <v>0</v>
      </c>
      <c r="H108" s="110">
        <f t="shared" si="24"/>
        <v>0</v>
      </c>
      <c r="I108" s="110">
        <f t="shared" si="24"/>
        <v>0</v>
      </c>
      <c r="J108" s="110">
        <f t="shared" si="24"/>
        <v>0</v>
      </c>
      <c r="K108" s="110">
        <f t="shared" si="24"/>
        <v>0</v>
      </c>
      <c r="L108" s="110">
        <f t="shared" si="24"/>
        <v>0</v>
      </c>
      <c r="M108" s="110">
        <f t="shared" si="24"/>
        <v>0</v>
      </c>
      <c r="N108" s="110">
        <f t="shared" si="24"/>
        <v>0</v>
      </c>
      <c r="O108" s="110">
        <f t="shared" si="24"/>
        <v>0</v>
      </c>
      <c r="P108" s="110">
        <f t="shared" si="24"/>
        <v>0</v>
      </c>
    </row>
    <row r="109" spans="1:16" s="82" customFormat="1" ht="21" customHeight="1">
      <c r="A109" s="238" t="s">
        <v>827</v>
      </c>
      <c r="B109" s="238"/>
      <c r="C109" s="114">
        <f t="shared" si="17"/>
        <v>5625194</v>
      </c>
      <c r="D109" s="114">
        <f t="shared" ref="D109:P109" si="25">+D108+D105+D98</f>
        <v>5543294</v>
      </c>
      <c r="E109" s="114">
        <f t="shared" si="25"/>
        <v>0</v>
      </c>
      <c r="F109" s="114">
        <f t="shared" si="25"/>
        <v>12900</v>
      </c>
      <c r="G109" s="114">
        <f t="shared" si="25"/>
        <v>0</v>
      </c>
      <c r="H109" s="114">
        <f t="shared" si="25"/>
        <v>0</v>
      </c>
      <c r="I109" s="114">
        <f t="shared" si="25"/>
        <v>50000</v>
      </c>
      <c r="J109" s="114">
        <f t="shared" si="25"/>
        <v>0</v>
      </c>
      <c r="K109" s="114">
        <f t="shared" si="25"/>
        <v>0</v>
      </c>
      <c r="L109" s="114">
        <f t="shared" si="25"/>
        <v>0</v>
      </c>
      <c r="M109" s="114">
        <f t="shared" si="25"/>
        <v>19000</v>
      </c>
      <c r="N109" s="114">
        <f t="shared" si="25"/>
        <v>0</v>
      </c>
      <c r="O109" s="114">
        <f t="shared" si="25"/>
        <v>0</v>
      </c>
      <c r="P109" s="114">
        <f t="shared" si="25"/>
        <v>0</v>
      </c>
    </row>
    <row r="110" spans="1:16">
      <c r="A110" s="115"/>
      <c r="B110" s="115"/>
      <c r="C110" s="115"/>
      <c r="D110" s="115"/>
      <c r="E110" s="115"/>
      <c r="F110" s="115"/>
      <c r="G110" s="116"/>
      <c r="H110" s="117"/>
      <c r="I110" s="117"/>
      <c r="J110" s="117"/>
      <c r="K110" s="117"/>
      <c r="L110" s="117"/>
      <c r="P110" s="83"/>
    </row>
    <row r="111" spans="1:16">
      <c r="F111" s="120"/>
      <c r="G111" s="121"/>
      <c r="H111" s="122"/>
      <c r="I111" s="122"/>
      <c r="J111" s="122"/>
      <c r="K111" s="122"/>
      <c r="L111" s="122"/>
    </row>
    <row r="112" spans="1:16">
      <c r="F112" s="120"/>
      <c r="G112" s="123"/>
      <c r="H112" s="124"/>
      <c r="I112" s="124"/>
      <c r="J112" s="124"/>
      <c r="K112" s="124"/>
      <c r="L112" s="124"/>
    </row>
    <row r="113" spans="1:12">
      <c r="A113" s="120"/>
      <c r="B113" s="120"/>
      <c r="C113" s="120"/>
      <c r="D113" s="120"/>
      <c r="E113" s="120"/>
      <c r="F113" s="120"/>
      <c r="G113" s="125"/>
      <c r="H113" s="120"/>
      <c r="I113" s="120"/>
      <c r="J113" s="120"/>
      <c r="K113" s="120"/>
      <c r="L113" s="120"/>
    </row>
    <row r="114" spans="1:12">
      <c r="A114" s="120"/>
      <c r="B114" s="120"/>
      <c r="C114" s="120"/>
      <c r="D114" s="120"/>
      <c r="E114" s="120"/>
      <c r="F114" s="120"/>
      <c r="G114" s="125"/>
      <c r="H114" s="120"/>
      <c r="I114" s="120"/>
      <c r="J114" s="120"/>
      <c r="K114" s="120"/>
      <c r="L114" s="120"/>
    </row>
    <row r="115" spans="1:12">
      <c r="A115" s="120"/>
      <c r="B115" s="120"/>
      <c r="C115" s="120"/>
      <c r="D115" s="120"/>
      <c r="E115" s="120"/>
      <c r="F115" s="120"/>
      <c r="G115" s="125"/>
      <c r="H115" s="120"/>
      <c r="I115" s="120"/>
      <c r="J115" s="120"/>
      <c r="K115" s="120"/>
      <c r="L115" s="120"/>
    </row>
    <row r="116" spans="1:12">
      <c r="A116" s="120"/>
      <c r="B116" s="120"/>
      <c r="C116" s="120"/>
      <c r="D116" s="120"/>
      <c r="E116" s="120"/>
      <c r="F116" s="120"/>
    </row>
    <row r="117" spans="1:12">
      <c r="A117" s="120"/>
      <c r="B117" s="120"/>
      <c r="C117" s="120"/>
      <c r="D117" s="120"/>
      <c r="E117" s="120"/>
      <c r="F117" s="120"/>
      <c r="G117" s="125"/>
      <c r="H117" s="120"/>
      <c r="I117" s="120"/>
      <c r="J117" s="120"/>
      <c r="K117" s="120"/>
      <c r="L117" s="120"/>
    </row>
    <row r="118" spans="1:12">
      <c r="A118" s="120"/>
      <c r="B118" s="120"/>
      <c r="C118" s="120"/>
      <c r="D118" s="120"/>
      <c r="E118" s="120"/>
      <c r="F118" s="120"/>
      <c r="G118" s="125"/>
      <c r="H118" s="126"/>
      <c r="I118" s="126"/>
      <c r="J118" s="126"/>
      <c r="K118" s="126"/>
      <c r="L118" s="126"/>
    </row>
    <row r="119" spans="1:12">
      <c r="A119" s="120"/>
      <c r="B119" s="120"/>
      <c r="C119" s="120"/>
      <c r="D119" s="120"/>
      <c r="E119" s="120"/>
      <c r="F119" s="120"/>
      <c r="G119" s="125"/>
      <c r="H119" s="120"/>
      <c r="I119" s="120"/>
      <c r="J119" s="120"/>
      <c r="K119" s="120"/>
      <c r="L119" s="120"/>
    </row>
    <row r="120" spans="1:12">
      <c r="A120" s="120"/>
      <c r="B120" s="120"/>
      <c r="C120" s="120"/>
      <c r="D120" s="120"/>
      <c r="E120" s="120"/>
      <c r="F120" s="120"/>
      <c r="G120" s="125"/>
      <c r="H120" s="127"/>
      <c r="I120" s="127"/>
      <c r="J120" s="127"/>
      <c r="K120" s="127"/>
      <c r="L120" s="127"/>
    </row>
    <row r="121" spans="1:12">
      <c r="G121" s="123"/>
      <c r="H121" s="128"/>
      <c r="I121" s="128"/>
      <c r="J121" s="128"/>
      <c r="K121" s="128"/>
      <c r="L121" s="128"/>
    </row>
  </sheetData>
  <sheetProtection password="DE31" sheet="1" objects="1" scenarios="1" selectLockedCells="1"/>
  <mergeCells count="10">
    <mergeCell ref="A73:B73"/>
    <mergeCell ref="A75:B75"/>
    <mergeCell ref="C75:P75"/>
    <mergeCell ref="A109:B109"/>
    <mergeCell ref="A1:P1"/>
    <mergeCell ref="A3:B3"/>
    <mergeCell ref="C3:P3"/>
    <mergeCell ref="A37:B37"/>
    <mergeCell ref="A39:B39"/>
    <mergeCell ref="C39:P39"/>
  </mergeCells>
  <dataValidations count="2">
    <dataValidation type="whole" allowBlank="1" showInputMessage="1" showErrorMessage="1" errorTitle="GREŠKA" error="U ovo polje je dozvoljen unos samo brojčanih vrijednosti s negativnim predznakom!" prompt="Molimo unos brojčane vrijednosti s negativnim predznakom!" sqref="D7:P7" xr:uid="{00000000-0002-0000-0300-000000000000}">
      <formula1>-100000000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D5:P5" xr:uid="{00000000-0002-0000-0300-000001000000}">
      <formula1>0</formula1>
      <formula2>100000000</formula2>
    </dataValidation>
  </dataValidations>
  <pageMargins left="0" right="0" top="0.35416666666666702" bottom="0.15763888888888899" header="0.51180555555555496" footer="0.51180555555555496"/>
  <pageSetup paperSize="9" scale="55" firstPageNumber="0" fitToHeight="0" orientation="landscape" horizontalDpi="300" verticalDpi="300" r:id="rId1"/>
  <rowBreaks count="2" manualBreakCount="2">
    <brk id="37" max="16383" man="1"/>
    <brk id="7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1108"/>
  <sheetViews>
    <sheetView showGridLines="0" zoomScale="80" zoomScaleNormal="80" zoomScalePageLayoutView="80" workbookViewId="0">
      <pane xSplit="3" ySplit="3" topLeftCell="D4" activePane="bottomRight" state="frozen"/>
      <selection pane="topRight" activeCell="H1" sqref="H1"/>
      <selection pane="bottomLeft" activeCell="A4" sqref="A4"/>
      <selection pane="bottomRight" sqref="A1:P1"/>
    </sheetView>
  </sheetViews>
  <sheetFormatPr defaultRowHeight="14.4"/>
  <cols>
    <col min="1" max="1" width="14.109375" style="129" customWidth="1"/>
    <col min="2" max="2" width="56.5546875" style="130" customWidth="1"/>
    <col min="3" max="3" width="13.88671875" style="79" customWidth="1"/>
    <col min="4" max="14" width="13.109375" style="131" customWidth="1"/>
    <col min="15" max="15" width="14.6640625" style="131" customWidth="1"/>
    <col min="16" max="16" width="13.109375" style="131" customWidth="1"/>
    <col min="17" max="186" width="11.44140625" style="132"/>
    <col min="187" max="1025" width="11.44140625" style="133"/>
  </cols>
  <sheetData>
    <row r="1" spans="1:256" ht="24" customHeight="1">
      <c r="A1" s="241" t="s">
        <v>830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pans="1:256" s="134" customFormat="1" ht="71.400000000000006" customHeight="1">
      <c r="A2" s="87" t="s">
        <v>831</v>
      </c>
      <c r="B2" s="87" t="s">
        <v>832</v>
      </c>
      <c r="C2" s="87" t="s">
        <v>833</v>
      </c>
      <c r="D2" s="87" t="s">
        <v>834</v>
      </c>
      <c r="E2" s="87" t="s">
        <v>765</v>
      </c>
      <c r="F2" s="87" t="s">
        <v>766</v>
      </c>
      <c r="G2" s="87" t="s">
        <v>767</v>
      </c>
      <c r="H2" s="87" t="s">
        <v>768</v>
      </c>
      <c r="I2" s="87" t="s">
        <v>769</v>
      </c>
      <c r="J2" s="87" t="s">
        <v>770</v>
      </c>
      <c r="K2" s="87" t="s">
        <v>771</v>
      </c>
      <c r="L2" s="87" t="s">
        <v>772</v>
      </c>
      <c r="M2" s="87" t="s">
        <v>773</v>
      </c>
      <c r="N2" s="87" t="s">
        <v>774</v>
      </c>
      <c r="O2" s="87" t="s">
        <v>835</v>
      </c>
      <c r="P2" s="87" t="s">
        <v>776</v>
      </c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</row>
    <row r="3" spans="1:256" s="139" customFormat="1" ht="19.5" customHeight="1">
      <c r="A3" s="135"/>
      <c r="B3" s="135" t="s">
        <v>836</v>
      </c>
      <c r="C3" s="136">
        <f>SUM(D3:P3)</f>
        <v>5269293</v>
      </c>
      <c r="D3" s="137">
        <f t="shared" ref="D3:P3" si="0">D4+D38+D58</f>
        <v>5192993</v>
      </c>
      <c r="E3" s="137">
        <f t="shared" si="0"/>
        <v>0</v>
      </c>
      <c r="F3" s="137">
        <f t="shared" si="0"/>
        <v>12300</v>
      </c>
      <c r="G3" s="137">
        <f t="shared" si="0"/>
        <v>0</v>
      </c>
      <c r="H3" s="137">
        <f t="shared" si="0"/>
        <v>0</v>
      </c>
      <c r="I3" s="137">
        <f t="shared" si="0"/>
        <v>50000</v>
      </c>
      <c r="J3" s="137">
        <f t="shared" si="0"/>
        <v>0</v>
      </c>
      <c r="K3" s="137">
        <f t="shared" si="0"/>
        <v>0</v>
      </c>
      <c r="L3" s="137">
        <f t="shared" si="0"/>
        <v>0</v>
      </c>
      <c r="M3" s="137">
        <f t="shared" si="0"/>
        <v>14000</v>
      </c>
      <c r="N3" s="137">
        <f t="shared" si="0"/>
        <v>0</v>
      </c>
      <c r="O3" s="137">
        <f t="shared" si="0"/>
        <v>0</v>
      </c>
      <c r="P3" s="137">
        <f t="shared" si="0"/>
        <v>0</v>
      </c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138"/>
      <c r="AH3" s="138"/>
      <c r="AI3" s="138"/>
      <c r="AJ3" s="138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</row>
    <row r="4" spans="1:256" s="144" customFormat="1" ht="12.6" customHeight="1">
      <c r="A4" s="140">
        <v>3</v>
      </c>
      <c r="B4" s="141" t="s">
        <v>837</v>
      </c>
      <c r="C4" s="142">
        <f t="shared" ref="C4:C35" si="1">ROUND(SUM(D4:P4),0)</f>
        <v>5269293</v>
      </c>
      <c r="D4" s="143">
        <f t="shared" ref="D4:P4" si="2">D5+D9+D15+D19+D23+D30+D33</f>
        <v>5192993</v>
      </c>
      <c r="E4" s="143">
        <f t="shared" si="2"/>
        <v>0</v>
      </c>
      <c r="F4" s="143">
        <f t="shared" si="2"/>
        <v>12300</v>
      </c>
      <c r="G4" s="143">
        <f t="shared" si="2"/>
        <v>0</v>
      </c>
      <c r="H4" s="143">
        <f t="shared" si="2"/>
        <v>0</v>
      </c>
      <c r="I4" s="143">
        <f t="shared" si="2"/>
        <v>50000</v>
      </c>
      <c r="J4" s="143">
        <f t="shared" si="2"/>
        <v>0</v>
      </c>
      <c r="K4" s="143">
        <f t="shared" si="2"/>
        <v>0</v>
      </c>
      <c r="L4" s="143">
        <f t="shared" si="2"/>
        <v>0</v>
      </c>
      <c r="M4" s="143">
        <f t="shared" si="2"/>
        <v>14000</v>
      </c>
      <c r="N4" s="143">
        <f t="shared" si="2"/>
        <v>0</v>
      </c>
      <c r="O4" s="143">
        <f t="shared" si="2"/>
        <v>0</v>
      </c>
      <c r="P4" s="143">
        <f t="shared" si="2"/>
        <v>0</v>
      </c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</row>
    <row r="5" spans="1:256" s="151" customFormat="1" ht="12.6" customHeight="1">
      <c r="A5" s="145">
        <v>31</v>
      </c>
      <c r="B5" s="146" t="s">
        <v>838</v>
      </c>
      <c r="C5" s="147">
        <f t="shared" si="1"/>
        <v>4416565</v>
      </c>
      <c r="D5" s="148">
        <f t="shared" ref="D5:P5" si="3">SUM(D6:D8)</f>
        <v>4416565</v>
      </c>
      <c r="E5" s="148">
        <f t="shared" si="3"/>
        <v>0</v>
      </c>
      <c r="F5" s="148">
        <f t="shared" si="3"/>
        <v>0</v>
      </c>
      <c r="G5" s="148">
        <f t="shared" si="3"/>
        <v>0</v>
      </c>
      <c r="H5" s="148">
        <f t="shared" si="3"/>
        <v>0</v>
      </c>
      <c r="I5" s="148">
        <f t="shared" si="3"/>
        <v>0</v>
      </c>
      <c r="J5" s="148">
        <f t="shared" si="3"/>
        <v>0</v>
      </c>
      <c r="K5" s="148">
        <f t="shared" si="3"/>
        <v>0</v>
      </c>
      <c r="L5" s="148">
        <f t="shared" si="3"/>
        <v>0</v>
      </c>
      <c r="M5" s="148">
        <f t="shared" si="3"/>
        <v>0</v>
      </c>
      <c r="N5" s="148">
        <f t="shared" si="3"/>
        <v>0</v>
      </c>
      <c r="O5" s="148">
        <f t="shared" si="3"/>
        <v>0</v>
      </c>
      <c r="P5" s="148">
        <f t="shared" si="3"/>
        <v>0</v>
      </c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s="151" customFormat="1" ht="12.6" customHeight="1">
      <c r="A6" s="152">
        <v>311</v>
      </c>
      <c r="B6" s="152" t="s">
        <v>839</v>
      </c>
      <c r="C6" s="153">
        <f t="shared" si="1"/>
        <v>3678871</v>
      </c>
      <c r="D6" s="154">
        <f>SUMIFS('Plan rashoda za unos u SAP'!$I$3:$I$501,'Plan rashoda za unos u SAP'!$C$3:$C$501,"=11",'Plan rashoda za unos u SAP'!$M$3:$M$501,"=311")</f>
        <v>3678871</v>
      </c>
      <c r="E6" s="154">
        <f>SUMIFS('Plan rashoda za unos u SAP'!$I$3:$I$501,'Plan rashoda za unos u SAP'!$C$3:$C$501,"=12",'Plan rashoda za unos u SAP'!$M$3:$M$501,"=311")</f>
        <v>0</v>
      </c>
      <c r="F6" s="154">
        <f>SUMIFS('Plan rashoda za unos u SAP'!$I$3:$I$501,'Plan rashoda za unos u SAP'!$C$3:$C$501,"=31",'Plan rashoda za unos u SAP'!$M$3:$M$501,"=311")</f>
        <v>0</v>
      </c>
      <c r="G6" s="154">
        <f>SUMIFS('Plan rashoda za unos u SAP'!$I$3:$I$501,'Plan rashoda za unos u SAP'!$C$3:$C$501,"=43",'Plan rashoda za unos u SAP'!$M$3:$M$501,"=311")</f>
        <v>0</v>
      </c>
      <c r="H6" s="154">
        <f>SUMIFS('Plan rashoda za unos u SAP'!$I$3:$I$501,'Plan rashoda za unos u SAP'!$C$3:$C$501,"=51",'Plan rashoda za unos u SAP'!$M$3:$M$501,"=311")</f>
        <v>0</v>
      </c>
      <c r="I6" s="154">
        <f>SUMIFS('Plan rashoda za unos u SAP'!$I$3:$I$501,'Plan rashoda za unos u SAP'!$C$3:$C$501,"=52",'Plan rashoda za unos u SAP'!$M$3:$M$501,"=311")</f>
        <v>0</v>
      </c>
      <c r="J6" s="154">
        <f>SUMIFS('Plan rashoda za unos u SAP'!$I$3:$I$501,'Plan rashoda za unos u SAP'!$C$3:$C$501,"=559",'Plan rashoda za unos u SAP'!$M$3:$M$501,"=311")</f>
        <v>0</v>
      </c>
      <c r="K6" s="154">
        <f>SUMIFS('Plan rashoda za unos u SAP'!$I$3:$I$501,'Plan rashoda za unos u SAP'!$C$3:$C$501,"=561",'Plan rashoda za unos u SAP'!$M$3:$M$501,"=311")</f>
        <v>0</v>
      </c>
      <c r="L6" s="154">
        <f>SUMIFS('Plan rashoda za unos u SAP'!$I$3:$I$501,'Plan rashoda za unos u SAP'!$C$3:$C$501,"=563",'Plan rashoda za unos u SAP'!$M$3:$M$501,"=311")</f>
        <v>0</v>
      </c>
      <c r="M6" s="154">
        <f>SUMIFS('Plan rashoda za unos u SAP'!$I$3:$I$501,'Plan rashoda za unos u SAP'!$C$3:$C$501,"=61",'Plan rashoda za unos u SAP'!$M$3:$M$501,"=311")</f>
        <v>0</v>
      </c>
      <c r="N6" s="154">
        <f>SUMIFS('Plan rashoda za unos u SAP'!$I$3:$I$501,'Plan rashoda za unos u SAP'!$C$3:$C$501,"=63",'Plan rashoda za unos u SAP'!$M$3:$M$501,"=311")</f>
        <v>0</v>
      </c>
      <c r="O6" s="154">
        <f>SUMIFS('Plan rashoda za unos u SAP'!$I$3:$I$501,'Plan rashoda za unos u SAP'!$C$3:$C$501,"=71",'Plan rashoda za unos u SAP'!$M$3:$M$501,"=311")</f>
        <v>0</v>
      </c>
      <c r="P6" s="154">
        <f>SUMIFS('Plan rashoda za unos u SAP'!$I$3:$I$501,'Plan rashoda za unos u SAP'!$C$3:$C$501,"=81",'Plan rashoda za unos u SAP'!$M$3:$M$501,"=311")</f>
        <v>0</v>
      </c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3"/>
      <c r="IS6" s="133"/>
      <c r="IT6" s="133"/>
      <c r="IU6" s="133"/>
      <c r="IV6" s="133"/>
    </row>
    <row r="7" spans="1:256" s="151" customFormat="1" ht="12.6" customHeight="1">
      <c r="A7" s="155">
        <v>312</v>
      </c>
      <c r="B7" s="156" t="s">
        <v>559</v>
      </c>
      <c r="C7" s="94">
        <f t="shared" si="1"/>
        <v>130181</v>
      </c>
      <c r="D7" s="154">
        <f>SUMIFS('Plan rashoda za unos u SAP'!$I$3:$I$501,'Plan rashoda za unos u SAP'!$C$3:$C$501,"=11",'Plan rashoda za unos u SAP'!$M$3:$M$501,"=312")</f>
        <v>130181</v>
      </c>
      <c r="E7" s="154">
        <f>SUMIFS('Plan rashoda za unos u SAP'!$I$3:$I$501,'Plan rashoda za unos u SAP'!$C$3:$C$501,"=12",'Plan rashoda za unos u SAP'!$M$3:$M$501,"=312")</f>
        <v>0</v>
      </c>
      <c r="F7" s="154">
        <f>SUMIFS('Plan rashoda za unos u SAP'!$I$3:$I$501,'Plan rashoda za unos u SAP'!$C$3:$C$501,"=31",'Plan rashoda za unos u SAP'!$M$3:$M$501,"=312")</f>
        <v>0</v>
      </c>
      <c r="G7" s="154">
        <f>SUMIFS('Plan rashoda za unos u SAP'!$I$3:$I$501,'Plan rashoda za unos u SAP'!$C$3:$C$501,"=43",'Plan rashoda za unos u SAP'!$M$3:$M$501,"=312")</f>
        <v>0</v>
      </c>
      <c r="H7" s="154">
        <f>SUMIFS('Plan rashoda za unos u SAP'!$I$3:$I$501,'Plan rashoda za unos u SAP'!$C$3:$C$501,"=51",'Plan rashoda za unos u SAP'!$M$3:$M$501,"=312")</f>
        <v>0</v>
      </c>
      <c r="I7" s="154">
        <f>SUMIFS('Plan rashoda za unos u SAP'!$I$3:$I$501,'Plan rashoda za unos u SAP'!$C$3:$C$501,"=52",'Plan rashoda za unos u SAP'!$M$3:$M$501,"=312")</f>
        <v>0</v>
      </c>
      <c r="J7" s="154">
        <f>SUMIFS('Plan rashoda za unos u SAP'!$I$3:$I$501,'Plan rashoda za unos u SAP'!$C$3:$C$501,"=559",'Plan rashoda za unos u SAP'!$M$3:$M$501,"=312")</f>
        <v>0</v>
      </c>
      <c r="K7" s="154">
        <f>SUMIFS('Plan rashoda za unos u SAP'!$I$3:$I$501,'Plan rashoda za unos u SAP'!$C$3:$C$501,"=561",'Plan rashoda za unos u SAP'!$M$3:$M$501,"=312")</f>
        <v>0</v>
      </c>
      <c r="L7" s="154">
        <f>SUMIFS('Plan rashoda za unos u SAP'!$I$3:$I$501,'Plan rashoda za unos u SAP'!$C$3:$C$501,"=563",'Plan rashoda za unos u SAP'!$M$3:$M$501,"=312")</f>
        <v>0</v>
      </c>
      <c r="M7" s="154">
        <f>SUMIFS('Plan rashoda za unos u SAP'!$I$3:$I$501,'Plan rashoda za unos u SAP'!$C$3:$C$501,"=61",'Plan rashoda za unos u SAP'!$M$3:$M$501,"=312")</f>
        <v>0</v>
      </c>
      <c r="N7" s="154">
        <f>SUMIFS('Plan rashoda za unos u SAP'!$I$3:$I$501,'Plan rashoda za unos u SAP'!$C$3:$C$501,"=63",'Plan rashoda za unos u SAP'!$M$3:$M$501,"=312")</f>
        <v>0</v>
      </c>
      <c r="O7" s="154">
        <f>SUMIFS('Plan rashoda za unos u SAP'!$I$3:$I$501,'Plan rashoda za unos u SAP'!$C$3:$C$501,"=71",'Plan rashoda za unos u SAP'!$M$3:$M$501,"=312")</f>
        <v>0</v>
      </c>
      <c r="P7" s="154">
        <f>SUMIFS('Plan rashoda za unos u SAP'!$I$3:$I$501,'Plan rashoda za unos u SAP'!$C$3:$C$501,"=81",'Plan rashoda za unos u SAP'!$M$3:$M$501,"=312")</f>
        <v>0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s="151" customFormat="1" ht="12.6" customHeight="1">
      <c r="A8" s="155">
        <v>313</v>
      </c>
      <c r="B8" s="156" t="s">
        <v>840</v>
      </c>
      <c r="C8" s="94">
        <f t="shared" si="1"/>
        <v>607513</v>
      </c>
      <c r="D8" s="154">
        <f>SUMIFS('Plan rashoda za unos u SAP'!$I$3:$I$501,'Plan rashoda za unos u SAP'!$C$3:$C$501,"=11",'Plan rashoda za unos u SAP'!$M$3:$M$501,"=313")</f>
        <v>607513</v>
      </c>
      <c r="E8" s="154">
        <f>SUMIFS('Plan rashoda za unos u SAP'!$I$3:$I$501,'Plan rashoda za unos u SAP'!$C$3:$C$501,"=12",'Plan rashoda za unos u SAP'!$M$3:$M$501,"=313")</f>
        <v>0</v>
      </c>
      <c r="F8" s="154">
        <f>SUMIFS('Plan rashoda za unos u SAP'!$I$3:$I$501,'Plan rashoda za unos u SAP'!$C$3:$C$501,"=31",'Plan rashoda za unos u SAP'!$M$3:$M$501,"=313")</f>
        <v>0</v>
      </c>
      <c r="G8" s="154">
        <f>SUMIFS('Plan rashoda za unos u SAP'!$I$3:$I$501,'Plan rashoda za unos u SAP'!$C$3:$C$501,"=43",'Plan rashoda za unos u SAP'!$M$3:$M$501,"=313")</f>
        <v>0</v>
      </c>
      <c r="H8" s="154">
        <f>SUMIFS('Plan rashoda za unos u SAP'!$I$3:$I$501,'Plan rashoda za unos u SAP'!$C$3:$C$501,"=51",'Plan rashoda za unos u SAP'!$M$3:$M$501,"=313")</f>
        <v>0</v>
      </c>
      <c r="I8" s="154">
        <f>SUMIFS('Plan rashoda za unos u SAP'!$I$3:$I$501,'Plan rashoda za unos u SAP'!$C$3:$C$501,"=52",'Plan rashoda za unos u SAP'!$M$3:$M$501,"=313")</f>
        <v>0</v>
      </c>
      <c r="J8" s="154">
        <f>SUMIFS('Plan rashoda za unos u SAP'!$I$3:$I$501,'Plan rashoda za unos u SAP'!$C$3:$C$501,"=559",'Plan rashoda za unos u SAP'!$M$3:$M$501,"=313")</f>
        <v>0</v>
      </c>
      <c r="K8" s="154">
        <f>SUMIFS('Plan rashoda za unos u SAP'!$I$3:$I$501,'Plan rashoda za unos u SAP'!$C$3:$C$501,"=561",'Plan rashoda za unos u SAP'!$M$3:$M$501,"=313")</f>
        <v>0</v>
      </c>
      <c r="L8" s="154">
        <f>SUMIFS('Plan rashoda za unos u SAP'!$I$3:$I$501,'Plan rashoda za unos u SAP'!$C$3:$C$501,"=563",'Plan rashoda za unos u SAP'!$M$3:$M$501,"=313")</f>
        <v>0</v>
      </c>
      <c r="M8" s="154">
        <f>SUMIFS('Plan rashoda za unos u SAP'!$I$3:$I$501,'Plan rashoda za unos u SAP'!$C$3:$C$501,"=61",'Plan rashoda za unos u SAP'!$M$3:$M$501,"=313")</f>
        <v>0</v>
      </c>
      <c r="N8" s="154">
        <f>SUMIFS('Plan rashoda za unos u SAP'!$I$3:$I$501,'Plan rashoda za unos u SAP'!$C$3:$C$501,"=63",'Plan rashoda za unos u SAP'!$M$3:$M$501,"=313")</f>
        <v>0</v>
      </c>
      <c r="O8" s="154">
        <f>SUMIFS('Plan rashoda za unos u SAP'!$I$3:$I$501,'Plan rashoda za unos u SAP'!$C$3:$C$501,"=71",'Plan rashoda za unos u SAP'!$M$3:$M$501,"=313")</f>
        <v>0</v>
      </c>
      <c r="P8" s="154">
        <f>SUMIFS('Plan rashoda za unos u SAP'!$I$3:$I$501,'Plan rashoda za unos u SAP'!$C$3:$C$501,"=81",'Plan rashoda za unos u SAP'!$M$3:$M$501,"=313")</f>
        <v>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  <c r="IP8" s="133"/>
      <c r="IQ8" s="133"/>
      <c r="IR8" s="133"/>
      <c r="IS8" s="133"/>
      <c r="IT8" s="133"/>
      <c r="IU8" s="133"/>
      <c r="IV8" s="133"/>
    </row>
    <row r="9" spans="1:256" s="159" customFormat="1" ht="12.6" customHeight="1">
      <c r="A9" s="157">
        <v>32</v>
      </c>
      <c r="B9" s="158" t="s">
        <v>841</v>
      </c>
      <c r="C9" s="110">
        <f t="shared" si="1"/>
        <v>852728</v>
      </c>
      <c r="D9" s="147">
        <f t="shared" ref="D9:P9" si="4">SUM(D10:D14)</f>
        <v>776428</v>
      </c>
      <c r="E9" s="147">
        <f t="shared" si="4"/>
        <v>0</v>
      </c>
      <c r="F9" s="147">
        <f t="shared" si="4"/>
        <v>12300</v>
      </c>
      <c r="G9" s="147">
        <f t="shared" si="4"/>
        <v>0</v>
      </c>
      <c r="H9" s="147">
        <f t="shared" si="4"/>
        <v>0</v>
      </c>
      <c r="I9" s="147">
        <f t="shared" si="4"/>
        <v>50000</v>
      </c>
      <c r="J9" s="147">
        <f t="shared" si="4"/>
        <v>0</v>
      </c>
      <c r="K9" s="147">
        <f t="shared" si="4"/>
        <v>0</v>
      </c>
      <c r="L9" s="147">
        <f t="shared" si="4"/>
        <v>0</v>
      </c>
      <c r="M9" s="147">
        <f t="shared" si="4"/>
        <v>14000</v>
      </c>
      <c r="N9" s="147">
        <f t="shared" si="4"/>
        <v>0</v>
      </c>
      <c r="O9" s="147">
        <f t="shared" si="4"/>
        <v>0</v>
      </c>
      <c r="P9" s="147">
        <f t="shared" si="4"/>
        <v>0</v>
      </c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</row>
    <row r="10" spans="1:256" s="134" customFormat="1" ht="12.6" customHeight="1">
      <c r="A10" s="152">
        <v>321</v>
      </c>
      <c r="B10" s="152" t="s">
        <v>842</v>
      </c>
      <c r="C10" s="94">
        <f t="shared" si="1"/>
        <v>68094</v>
      </c>
      <c r="D10" s="154">
        <f>SUMIFS('Plan rashoda za unos u SAP'!$I$3:$I$501,'Plan rashoda za unos u SAP'!$C$3:$C$501,"=11",'Plan rashoda za unos u SAP'!$M$3:$M$501,"=321")</f>
        <v>68094</v>
      </c>
      <c r="E10" s="154">
        <f>SUMIFS('Plan rashoda za unos u SAP'!$I$3:$I$501,'Plan rashoda za unos u SAP'!$C$3:$C$501,"=12",'Plan rashoda za unos u SAP'!$M$3:$M$501,"=321")</f>
        <v>0</v>
      </c>
      <c r="F10" s="154">
        <f>SUMIFS('Plan rashoda za unos u SAP'!$I$3:$I$501,'Plan rashoda za unos u SAP'!$C$3:$C$501,"=31",'Plan rashoda za unos u SAP'!$M$3:$M$501,"=321")</f>
        <v>0</v>
      </c>
      <c r="G10" s="154">
        <f>SUMIFS('Plan rashoda za unos u SAP'!$I$3:$I$501,'Plan rashoda za unos u SAP'!$C$3:$C$501,"=43",'Plan rashoda za unos u SAP'!$M$3:$M$501,"=321")</f>
        <v>0</v>
      </c>
      <c r="H10" s="154">
        <f>SUMIFS('Plan rashoda za unos u SAP'!$I$3:$I$501,'Plan rashoda za unos u SAP'!$C$3:$C$501,"=51",'Plan rashoda za unos u SAP'!$M$3:$M$501,"=321")</f>
        <v>0</v>
      </c>
      <c r="I10" s="154">
        <f>SUMIFS('Plan rashoda za unos u SAP'!$I$3:$I$501,'Plan rashoda za unos u SAP'!$C$3:$C$501,"=52",'Plan rashoda za unos u SAP'!$M$3:$M$501,"=321")</f>
        <v>0</v>
      </c>
      <c r="J10" s="154">
        <f>SUMIFS('Plan rashoda za unos u SAP'!$I$3:$I$501,'Plan rashoda za unos u SAP'!$C$3:$C$501,"=559",'Plan rashoda za unos u SAP'!$M$3:$M$501,"=321")</f>
        <v>0</v>
      </c>
      <c r="K10" s="154">
        <f>SUMIFS('Plan rashoda za unos u SAP'!$I$3:$I$501,'Plan rashoda za unos u SAP'!$C$3:$C$501,"=561",'Plan rashoda za unos u SAP'!$M$3:$M$501,"=321")</f>
        <v>0</v>
      </c>
      <c r="L10" s="154">
        <f>SUMIFS('Plan rashoda za unos u SAP'!$I$3:$I$501,'Plan rashoda za unos u SAP'!$C$3:$C$501,"=563",'Plan rashoda za unos u SAP'!$M$3:$M$501,"=321")</f>
        <v>0</v>
      </c>
      <c r="M10" s="154">
        <f>SUMIFS('Plan rashoda za unos u SAP'!$I$3:$I$501,'Plan rashoda za unos u SAP'!$C$3:$C$501,"=61",'Plan rashoda za unos u SAP'!$M$3:$M$501,"=321")</f>
        <v>0</v>
      </c>
      <c r="N10" s="154">
        <f>SUMIFS('Plan rashoda za unos u SAP'!$I$3:$I$501,'Plan rashoda za unos u SAP'!$C$3:$C$501,"=63",'Plan rashoda za unos u SAP'!$M$3:$M$501,"=321")</f>
        <v>0</v>
      </c>
      <c r="O10" s="154">
        <f>SUMIFS('Plan rashoda za unos u SAP'!$I$3:$I$501,'Plan rashoda za unos u SAP'!$C$3:$C$501,"=71",'Plan rashoda za unos u SAP'!$M$3:$M$501,"=321")</f>
        <v>0</v>
      </c>
      <c r="P10" s="154">
        <f>SUMIFS('Plan rashoda za unos u SAP'!$I$3:$I$501,'Plan rashoda za unos u SAP'!$C$3:$C$501,"=81",'Plan rashoda za unos u SAP'!$M$3:$M$501,"=321")</f>
        <v>0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  <c r="IR10" s="133"/>
      <c r="IS10" s="133"/>
      <c r="IT10" s="133"/>
      <c r="IU10" s="133"/>
      <c r="IV10" s="133"/>
    </row>
    <row r="11" spans="1:256" s="120" customFormat="1" ht="12.6" customHeight="1">
      <c r="A11" s="155">
        <v>322</v>
      </c>
      <c r="B11" s="156" t="s">
        <v>843</v>
      </c>
      <c r="C11" s="94">
        <f t="shared" si="1"/>
        <v>146196</v>
      </c>
      <c r="D11" s="154">
        <f>SUMIFS('Plan rashoda za unos u SAP'!$I$3:$I$501,'Plan rashoda za unos u SAP'!$C$3:$C$501,"=11",'Plan rashoda za unos u SAP'!$M$3:$M$501,"=322")</f>
        <v>146196</v>
      </c>
      <c r="E11" s="154">
        <f>SUMIFS('Plan rashoda za unos u SAP'!$I$3:$I$501,'Plan rashoda za unos u SAP'!$C$3:$C$501,"=12",'Plan rashoda za unos u SAP'!$M$3:$M$501,"=322")</f>
        <v>0</v>
      </c>
      <c r="F11" s="154">
        <f>SUMIFS('Plan rashoda za unos u SAP'!$I$3:$I$501,'Plan rashoda za unos u SAP'!$C$3:$C$501,"=31",'Plan rashoda za unos u SAP'!$M$3:$M$501,"=322")</f>
        <v>0</v>
      </c>
      <c r="G11" s="154">
        <f>SUMIFS('Plan rashoda za unos u SAP'!$I$3:$I$501,'Plan rashoda za unos u SAP'!$C$3:$C$501,"=43",'Plan rashoda za unos u SAP'!$M$3:$M$501,"=322")</f>
        <v>0</v>
      </c>
      <c r="H11" s="154">
        <f>SUMIFS('Plan rashoda za unos u SAP'!$I$3:$I$501,'Plan rashoda za unos u SAP'!$C$3:$C$501,"=51",'Plan rashoda za unos u SAP'!$M$3:$M$501,"=322")</f>
        <v>0</v>
      </c>
      <c r="I11" s="154">
        <f>SUMIFS('Plan rashoda za unos u SAP'!$I$3:$I$501,'Plan rashoda za unos u SAP'!$C$3:$C$501,"=52",'Plan rashoda za unos u SAP'!$M$3:$M$501,"=322")</f>
        <v>0</v>
      </c>
      <c r="J11" s="154">
        <f>SUMIFS('Plan rashoda za unos u SAP'!$I$3:$I$501,'Plan rashoda za unos u SAP'!$C$3:$C$501,"=559",'Plan rashoda za unos u SAP'!$M$3:$M$501,"=322")</f>
        <v>0</v>
      </c>
      <c r="K11" s="154">
        <f>SUMIFS('Plan rashoda za unos u SAP'!$I$3:$I$501,'Plan rashoda za unos u SAP'!$C$3:$C$501,"=561",'Plan rashoda za unos u SAP'!$M$3:$M$501,"=322")</f>
        <v>0</v>
      </c>
      <c r="L11" s="154">
        <f>SUMIFS('Plan rashoda za unos u SAP'!$I$3:$I$501,'Plan rashoda za unos u SAP'!$C$3:$C$501,"=563",'Plan rashoda za unos u SAP'!$M$3:$M$501,"=322")</f>
        <v>0</v>
      </c>
      <c r="M11" s="154">
        <f>SUMIFS('Plan rashoda za unos u SAP'!$I$3:$I$501,'Plan rashoda za unos u SAP'!$C$3:$C$501,"=61",'Plan rashoda za unos u SAP'!$M$3:$M$501,"=322")</f>
        <v>0</v>
      </c>
      <c r="N11" s="154">
        <f>SUMIFS('Plan rashoda za unos u SAP'!$I$3:$I$501,'Plan rashoda za unos u SAP'!$C$3:$C$501,"=63",'Plan rashoda za unos u SAP'!$M$3:$M$501,"=322")</f>
        <v>0</v>
      </c>
      <c r="O11" s="154">
        <f>SUMIFS('Plan rashoda za unos u SAP'!$I$3:$I$501,'Plan rashoda za unos u SAP'!$C$3:$C$501,"=71",'Plan rashoda za unos u SAP'!$M$3:$M$501,"=322")</f>
        <v>0</v>
      </c>
      <c r="P11" s="154">
        <f>SUMIFS('Plan rashoda za unos u SAP'!$I$3:$I$501,'Plan rashoda za unos u SAP'!$C$3:$C$501,"=81",'Plan rashoda za unos u SAP'!$M$3:$M$501,"=322")</f>
        <v>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  <c r="IT11" s="133"/>
      <c r="IU11" s="133"/>
      <c r="IV11" s="133"/>
    </row>
    <row r="12" spans="1:256" s="120" customFormat="1" ht="12.6" customHeight="1">
      <c r="A12" s="155">
        <v>323</v>
      </c>
      <c r="B12" s="156" t="s">
        <v>844</v>
      </c>
      <c r="C12" s="94">
        <f t="shared" si="1"/>
        <v>606569</v>
      </c>
      <c r="D12" s="154">
        <f>SUMIFS('Plan rashoda za unos u SAP'!$I$3:$I$501,'Plan rashoda za unos u SAP'!$C$3:$C$501,"=11",'Plan rashoda za unos u SAP'!$M$3:$M$501,"=323")</f>
        <v>534569</v>
      </c>
      <c r="E12" s="154">
        <f>SUMIFS('Plan rashoda za unos u SAP'!$I$3:$I$501,'Plan rashoda za unos u SAP'!$C$3:$C$501,"=12",'Plan rashoda za unos u SAP'!$M$3:$M$501,"=323")</f>
        <v>0</v>
      </c>
      <c r="F12" s="154">
        <f>SUMIFS('Plan rashoda za unos u SAP'!$I$3:$I$501,'Plan rashoda za unos u SAP'!$C$3:$C$501,"=31",'Plan rashoda za unos u SAP'!$M$3:$M$501,"=323")</f>
        <v>8000</v>
      </c>
      <c r="G12" s="154">
        <f>SUMIFS('Plan rashoda za unos u SAP'!$I$3:$I$501,'Plan rashoda za unos u SAP'!$C$3:$C$501,"=43",'Plan rashoda za unos u SAP'!$M$3:$M$501,"=323")</f>
        <v>0</v>
      </c>
      <c r="H12" s="154">
        <f>SUMIFS('Plan rashoda za unos u SAP'!$I$3:$I$501,'Plan rashoda za unos u SAP'!$C$3:$C$501,"=51",'Plan rashoda za unos u SAP'!$M$3:$M$501,"=323")</f>
        <v>0</v>
      </c>
      <c r="I12" s="154">
        <f>SUMIFS('Plan rashoda za unos u SAP'!$I$3:$I$501,'Plan rashoda za unos u SAP'!$C$3:$C$501,"=52",'Plan rashoda za unos u SAP'!$M$3:$M$501,"=323")</f>
        <v>50000</v>
      </c>
      <c r="J12" s="154">
        <f>SUMIFS('Plan rashoda za unos u SAP'!$I$3:$I$501,'Plan rashoda za unos u SAP'!$C$3:$C$501,"=559",'Plan rashoda za unos u SAP'!$M$3:$M$501,"=323")</f>
        <v>0</v>
      </c>
      <c r="K12" s="154">
        <f>SUMIFS('Plan rashoda za unos u SAP'!$I$3:$I$501,'Plan rashoda za unos u SAP'!$C$3:$C$501,"=561",'Plan rashoda za unos u SAP'!$M$3:$M$501,"=323")</f>
        <v>0</v>
      </c>
      <c r="L12" s="154">
        <f>SUMIFS('Plan rashoda za unos u SAP'!$I$3:$I$501,'Plan rashoda za unos u SAP'!$C$3:$C$501,"=563",'Plan rashoda za unos u SAP'!$M$3:$M$501,"=323")</f>
        <v>0</v>
      </c>
      <c r="M12" s="154">
        <f>SUMIFS('Plan rashoda za unos u SAP'!$I$3:$I$501,'Plan rashoda za unos u SAP'!$C$3:$C$501,"=61",'Plan rashoda za unos u SAP'!$M$3:$M$501,"=323")</f>
        <v>14000</v>
      </c>
      <c r="N12" s="154">
        <f>SUMIFS('Plan rashoda za unos u SAP'!$I$3:$I$501,'Plan rashoda za unos u SAP'!$C$3:$C$501,"=63",'Plan rashoda za unos u SAP'!$M$3:$M$501,"=323")</f>
        <v>0</v>
      </c>
      <c r="O12" s="154">
        <f>SUMIFS('Plan rashoda za unos u SAP'!$I$3:$I$501,'Plan rashoda za unos u SAP'!$C$3:$C$501,"=71",'Plan rashoda za unos u SAP'!$M$3:$M$501,"=323")</f>
        <v>0</v>
      </c>
      <c r="P12" s="154">
        <f>SUMIFS('Plan rashoda za unos u SAP'!$I$3:$I$501,'Plan rashoda za unos u SAP'!$C$3:$C$501,"=81",'Plan rashoda za unos u SAP'!$M$3:$M$501,"=323")</f>
        <v>0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  <c r="IT12" s="133"/>
      <c r="IU12" s="133"/>
      <c r="IV12" s="133"/>
    </row>
    <row r="13" spans="1:256" s="120" customFormat="1" ht="12.6" customHeight="1">
      <c r="A13" s="155">
        <v>324</v>
      </c>
      <c r="B13" s="161" t="s">
        <v>626</v>
      </c>
      <c r="C13" s="94">
        <f t="shared" si="1"/>
        <v>5812</v>
      </c>
      <c r="D13" s="154">
        <f>SUMIFS('Plan rashoda za unos u SAP'!$I$3:$I$501,'Plan rashoda za unos u SAP'!$C$3:$C$501,"=11",'Plan rashoda za unos u SAP'!$M$3:$M$501,"=324")</f>
        <v>1512</v>
      </c>
      <c r="E13" s="154">
        <f>SUMIFS('Plan rashoda za unos u SAP'!$I$3:$I$501,'Plan rashoda za unos u SAP'!$C$3:$C$501,"=12",'Plan rashoda za unos u SAP'!$M$3:$M$501,"=324")</f>
        <v>0</v>
      </c>
      <c r="F13" s="154">
        <f>SUMIFS('Plan rashoda za unos u SAP'!$I$3:$I$501,'Plan rashoda za unos u SAP'!$C$3:$C$501,"=31",'Plan rashoda za unos u SAP'!$M$3:$M$501,"=324")</f>
        <v>4300</v>
      </c>
      <c r="G13" s="154">
        <f>SUMIFS('Plan rashoda za unos u SAP'!$I$3:$I$501,'Plan rashoda za unos u SAP'!$C$3:$C$501,"=43",'Plan rashoda za unos u SAP'!$M$3:$M$501,"=324")</f>
        <v>0</v>
      </c>
      <c r="H13" s="154">
        <f>SUMIFS('Plan rashoda za unos u SAP'!$I$3:$I$501,'Plan rashoda za unos u SAP'!$C$3:$C$501,"=51",'Plan rashoda za unos u SAP'!$M$3:$M$501,"=324")</f>
        <v>0</v>
      </c>
      <c r="I13" s="154">
        <f>SUMIFS('Plan rashoda za unos u SAP'!$I$3:$I$501,'Plan rashoda za unos u SAP'!$C$3:$C$501,"=52",'Plan rashoda za unos u SAP'!$M$3:$M$501,"=324")</f>
        <v>0</v>
      </c>
      <c r="J13" s="154">
        <f>SUMIFS('Plan rashoda za unos u SAP'!$I$3:$I$501,'Plan rashoda za unos u SAP'!$C$3:$C$501,"=559",'Plan rashoda za unos u SAP'!$M$3:$M$501,"=324")</f>
        <v>0</v>
      </c>
      <c r="K13" s="154">
        <f>SUMIFS('Plan rashoda za unos u SAP'!$I$3:$I$501,'Plan rashoda za unos u SAP'!$C$3:$C$501,"=561",'Plan rashoda za unos u SAP'!$M$3:$M$501,"=324")</f>
        <v>0</v>
      </c>
      <c r="L13" s="154">
        <f>SUMIFS('Plan rashoda za unos u SAP'!$I$3:$I$501,'Plan rashoda za unos u SAP'!$C$3:$C$501,"=563",'Plan rashoda za unos u SAP'!$M$3:$M$501,"=324")</f>
        <v>0</v>
      </c>
      <c r="M13" s="154">
        <f>SUMIFS('Plan rashoda za unos u SAP'!$I$3:$I$501,'Plan rashoda za unos u SAP'!$C$3:$C$501,"=61",'Plan rashoda za unos u SAP'!$M$3:$M$501,"=324")</f>
        <v>0</v>
      </c>
      <c r="N13" s="154">
        <f>SUMIFS('Plan rashoda za unos u SAP'!$I$3:$I$501,'Plan rashoda za unos u SAP'!$C$3:$C$501,"=63",'Plan rashoda za unos u SAP'!$M$3:$M$501,"=324")</f>
        <v>0</v>
      </c>
      <c r="O13" s="154">
        <f>SUMIFS('Plan rashoda za unos u SAP'!$I$3:$I$501,'Plan rashoda za unos u SAP'!$C$3:$C$501,"=71",'Plan rashoda za unos u SAP'!$M$3:$M$501,"=324")</f>
        <v>0</v>
      </c>
      <c r="P13" s="154">
        <f>SUMIFS('Plan rashoda za unos u SAP'!$I$3:$I$501,'Plan rashoda za unos u SAP'!$C$3:$C$501,"=81",'Plan rashoda za unos u SAP'!$M$3:$M$501,"=324")</f>
        <v>0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</row>
    <row r="14" spans="1:256" s="120" customFormat="1" ht="12.6" customHeight="1">
      <c r="A14" s="155">
        <v>329</v>
      </c>
      <c r="B14" s="156" t="s">
        <v>650</v>
      </c>
      <c r="C14" s="94">
        <f t="shared" si="1"/>
        <v>26057</v>
      </c>
      <c r="D14" s="154">
        <f>SUMIFS('Plan rashoda za unos u SAP'!$I$3:$I$501,'Plan rashoda za unos u SAP'!$C$3:$C$501,"=11",'Plan rashoda za unos u SAP'!$M$3:$M$501,"=329")</f>
        <v>26057</v>
      </c>
      <c r="E14" s="154">
        <f>SUMIFS('Plan rashoda za unos u SAP'!$I$3:$I$501,'Plan rashoda za unos u SAP'!$C$3:$C$501,"=12",'Plan rashoda za unos u SAP'!$M$3:$M$501,"=329")</f>
        <v>0</v>
      </c>
      <c r="F14" s="154">
        <f>SUMIFS('Plan rashoda za unos u SAP'!$I$3:$I$501,'Plan rashoda za unos u SAP'!$C$3:$C$501,"=31",'Plan rashoda za unos u SAP'!$M$3:$M$501,"=329")</f>
        <v>0</v>
      </c>
      <c r="G14" s="154">
        <f>SUMIFS('Plan rashoda za unos u SAP'!$I$3:$I$501,'Plan rashoda za unos u SAP'!$C$3:$C$501,"=43",'Plan rashoda za unos u SAP'!$M$3:$M$501,"=329")</f>
        <v>0</v>
      </c>
      <c r="H14" s="154">
        <f>SUMIFS('Plan rashoda za unos u SAP'!$I$3:$I$501,'Plan rashoda za unos u SAP'!$C$3:$C$501,"=51",'Plan rashoda za unos u SAP'!$M$3:$M$501,"=329")</f>
        <v>0</v>
      </c>
      <c r="I14" s="154">
        <f>SUMIFS('Plan rashoda za unos u SAP'!$I$3:$I$501,'Plan rashoda za unos u SAP'!$C$3:$C$501,"=52",'Plan rashoda za unos u SAP'!$M$3:$M$501,"=329")</f>
        <v>0</v>
      </c>
      <c r="J14" s="154">
        <f>SUMIFS('Plan rashoda za unos u SAP'!$I$3:$I$501,'Plan rashoda za unos u SAP'!$C$3:$C$501,"=559",'Plan rashoda za unos u SAP'!$M$3:$M$501,"=329")</f>
        <v>0</v>
      </c>
      <c r="K14" s="154">
        <f>SUMIFS('Plan rashoda za unos u SAP'!$I$3:$I$501,'Plan rashoda za unos u SAP'!$C$3:$C$501,"=561",'Plan rashoda za unos u SAP'!$M$3:$M$501,"=329")</f>
        <v>0</v>
      </c>
      <c r="L14" s="154">
        <f>SUMIFS('Plan rashoda za unos u SAP'!$I$3:$I$501,'Plan rashoda za unos u SAP'!$C$3:$C$501,"=563",'Plan rashoda za unos u SAP'!$M$3:$M$501,"=329")</f>
        <v>0</v>
      </c>
      <c r="M14" s="154">
        <f>SUMIFS('Plan rashoda za unos u SAP'!$I$3:$I$501,'Plan rashoda za unos u SAP'!$C$3:$C$501,"=61",'Plan rashoda za unos u SAP'!$M$3:$M$501,"=329")</f>
        <v>0</v>
      </c>
      <c r="N14" s="154">
        <f>SUMIFS('Plan rashoda za unos u SAP'!$I$3:$I$501,'Plan rashoda za unos u SAP'!$C$3:$C$501,"=63",'Plan rashoda za unos u SAP'!$M$3:$M$501,"=329")</f>
        <v>0</v>
      </c>
      <c r="O14" s="154">
        <f>SUMIFS('Plan rashoda za unos u SAP'!$I$3:$I$501,'Plan rashoda za unos u SAP'!$C$3:$C$501,"=71",'Plan rashoda za unos u SAP'!$M$3:$M$501,"=329")</f>
        <v>0</v>
      </c>
      <c r="P14" s="154">
        <f>SUMIFS('Plan rashoda za unos u SAP'!$I$3:$I$501,'Plan rashoda za unos u SAP'!$C$3:$C$501,"=81",'Plan rashoda za unos u SAP'!$M$3:$M$501,"=329")</f>
        <v>0</v>
      </c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</row>
    <row r="15" spans="1:256" s="162" customFormat="1" ht="12.6" customHeight="1">
      <c r="A15" s="157">
        <v>34</v>
      </c>
      <c r="B15" s="158" t="s">
        <v>845</v>
      </c>
      <c r="C15" s="110">
        <f t="shared" si="1"/>
        <v>0</v>
      </c>
      <c r="D15" s="110">
        <f t="shared" ref="D15:P15" si="5">SUM(D16:D18)</f>
        <v>0</v>
      </c>
      <c r="E15" s="110">
        <f t="shared" si="5"/>
        <v>0</v>
      </c>
      <c r="F15" s="110">
        <f t="shared" si="5"/>
        <v>0</v>
      </c>
      <c r="G15" s="110">
        <f t="shared" si="5"/>
        <v>0</v>
      </c>
      <c r="H15" s="110">
        <f t="shared" si="5"/>
        <v>0</v>
      </c>
      <c r="I15" s="110">
        <f t="shared" si="5"/>
        <v>0</v>
      </c>
      <c r="J15" s="110">
        <f t="shared" si="5"/>
        <v>0</v>
      </c>
      <c r="K15" s="110">
        <f t="shared" si="5"/>
        <v>0</v>
      </c>
      <c r="L15" s="110">
        <f t="shared" si="5"/>
        <v>0</v>
      </c>
      <c r="M15" s="110">
        <f t="shared" si="5"/>
        <v>0</v>
      </c>
      <c r="N15" s="110">
        <f t="shared" si="5"/>
        <v>0</v>
      </c>
      <c r="O15" s="110">
        <f t="shared" si="5"/>
        <v>0</v>
      </c>
      <c r="P15" s="110">
        <f t="shared" si="5"/>
        <v>0</v>
      </c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60"/>
      <c r="GF15" s="160"/>
      <c r="GG15" s="160"/>
      <c r="GH15" s="160"/>
      <c r="GI15" s="160"/>
      <c r="GJ15" s="160"/>
      <c r="GK15" s="160"/>
      <c r="GL15" s="160"/>
      <c r="GM15" s="160"/>
      <c r="GN15" s="160"/>
      <c r="GO15" s="160"/>
      <c r="GP15" s="160"/>
      <c r="GQ15" s="160"/>
      <c r="GR15" s="160"/>
      <c r="GS15" s="160"/>
      <c r="GT15" s="160"/>
      <c r="GU15" s="160"/>
      <c r="GV15" s="160"/>
      <c r="GW15" s="160"/>
      <c r="GX15" s="160"/>
      <c r="GY15" s="160"/>
      <c r="GZ15" s="160"/>
      <c r="HA15" s="160"/>
      <c r="HB15" s="160"/>
      <c r="HC15" s="160"/>
      <c r="HD15" s="160"/>
      <c r="HE15" s="160"/>
      <c r="HF15" s="160"/>
      <c r="HG15" s="160"/>
      <c r="HH15" s="160"/>
      <c r="HI15" s="160"/>
      <c r="HJ15" s="160"/>
      <c r="HK15" s="160"/>
      <c r="HL15" s="160"/>
      <c r="HM15" s="160"/>
      <c r="HN15" s="160"/>
      <c r="HO15" s="160"/>
      <c r="HP15" s="160"/>
      <c r="HQ15" s="160"/>
      <c r="HR15" s="160"/>
      <c r="HS15" s="160"/>
      <c r="HT15" s="160"/>
      <c r="HU15" s="160"/>
      <c r="HV15" s="160"/>
      <c r="HW15" s="160"/>
      <c r="HX15" s="160"/>
      <c r="HY15" s="160"/>
      <c r="HZ15" s="160"/>
      <c r="IA15" s="160"/>
      <c r="IB15" s="160"/>
      <c r="IC15" s="160"/>
      <c r="ID15" s="160"/>
      <c r="IE15" s="160"/>
      <c r="IF15" s="160"/>
      <c r="IG15" s="160"/>
      <c r="IH15" s="160"/>
      <c r="II15" s="160"/>
      <c r="IJ15" s="160"/>
      <c r="IK15" s="160"/>
      <c r="IL15" s="160"/>
      <c r="IM15" s="160"/>
      <c r="IN15" s="160"/>
      <c r="IO15" s="160"/>
      <c r="IP15" s="160"/>
      <c r="IQ15" s="160"/>
      <c r="IR15" s="160"/>
      <c r="IS15" s="160"/>
      <c r="IT15" s="160"/>
      <c r="IU15" s="160"/>
      <c r="IV15" s="160"/>
    </row>
    <row r="16" spans="1:256" s="162" customFormat="1" ht="12.6" customHeight="1">
      <c r="A16" s="163">
        <v>341</v>
      </c>
      <c r="B16" s="156" t="s">
        <v>846</v>
      </c>
      <c r="C16" s="94">
        <f t="shared" si="1"/>
        <v>0</v>
      </c>
      <c r="D16" s="154">
        <f>SUMIFS('Plan rashoda za unos u SAP'!$I$3:$I$501,'Plan rashoda za unos u SAP'!$C$3:$C$501,"=11",'Plan rashoda za unos u SAP'!$M$3:$M$501,"=341")</f>
        <v>0</v>
      </c>
      <c r="E16" s="154">
        <f>SUMIFS('Plan rashoda za unos u SAP'!$I$3:$I$501,'Plan rashoda za unos u SAP'!$C$3:$C$501,"=12",'Plan rashoda za unos u SAP'!$M$3:$M$501,"=341")</f>
        <v>0</v>
      </c>
      <c r="F16" s="154">
        <f>SUMIFS('Plan rashoda za unos u SAP'!$I$3:$I$501,'Plan rashoda za unos u SAP'!$C$3:$C$501,"=31",'Plan rashoda za unos u SAP'!$M$3:$M$501,"=341")</f>
        <v>0</v>
      </c>
      <c r="G16" s="154">
        <f>SUMIFS('Plan rashoda za unos u SAP'!$I$3:$I$501,'Plan rashoda za unos u SAP'!$C$3:$C$501,"=43",'Plan rashoda za unos u SAP'!$M$3:$M$501,"=341")</f>
        <v>0</v>
      </c>
      <c r="H16" s="154">
        <f>SUMIFS('Plan rashoda za unos u SAP'!$I$3:$I$501,'Plan rashoda za unos u SAP'!$C$3:$C$501,"=51",'Plan rashoda za unos u SAP'!$M$3:$M$501,"=341")</f>
        <v>0</v>
      </c>
      <c r="I16" s="154">
        <f>SUMIFS('Plan rashoda za unos u SAP'!$I$3:$I$501,'Plan rashoda za unos u SAP'!$C$3:$C$501,"=52",'Plan rashoda za unos u SAP'!$M$3:$M$501,"=341")</f>
        <v>0</v>
      </c>
      <c r="J16" s="154">
        <f>SUMIFS('Plan rashoda za unos u SAP'!$I$3:$I$501,'Plan rashoda za unos u SAP'!$C$3:$C$501,"=559",'Plan rashoda za unos u SAP'!$M$3:$M$501,"=341")</f>
        <v>0</v>
      </c>
      <c r="K16" s="154">
        <f>SUMIFS('Plan rashoda za unos u SAP'!$I$3:$I$501,'Plan rashoda za unos u SAP'!$C$3:$C$501,"=561",'Plan rashoda za unos u SAP'!$M$3:$M$501,"=341")</f>
        <v>0</v>
      </c>
      <c r="L16" s="154">
        <f>SUMIFS('Plan rashoda za unos u SAP'!$I$3:$I$501,'Plan rashoda za unos u SAP'!$C$3:$C$501,"=563",'Plan rashoda za unos u SAP'!$M$3:$M$501,"=341")</f>
        <v>0</v>
      </c>
      <c r="M16" s="154">
        <f>SUMIFS('Plan rashoda za unos u SAP'!$I$3:$I$501,'Plan rashoda za unos u SAP'!$C$3:$C$501,"=61",'Plan rashoda za unos u SAP'!$M$3:$M$501,"=341")</f>
        <v>0</v>
      </c>
      <c r="N16" s="154">
        <f>SUMIFS('Plan rashoda za unos u SAP'!$I$3:$I$501,'Plan rashoda za unos u SAP'!$C$3:$C$501,"=63",'Plan rashoda za unos u SAP'!$M$3:$M$501,"=341")</f>
        <v>0</v>
      </c>
      <c r="O16" s="154">
        <f>SUMIFS('Plan rashoda za unos u SAP'!$I$3:$I$501,'Plan rashoda za unos u SAP'!$C$3:$C$501,"=71",'Plan rashoda za unos u SAP'!$M$3:$M$501,"=341")</f>
        <v>0</v>
      </c>
      <c r="P16" s="154">
        <f>SUMIFS('Plan rashoda za unos u SAP'!$I$3:$I$501,'Plan rashoda za unos u SAP'!$C$3:$C$501,"=81",'Plan rashoda za unos u SAP'!$M$3:$M$501,"=341")</f>
        <v>0</v>
      </c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60"/>
      <c r="GF16" s="160"/>
      <c r="GG16" s="160"/>
      <c r="GH16" s="160"/>
      <c r="GI16" s="160"/>
      <c r="GJ16" s="160"/>
      <c r="GK16" s="160"/>
      <c r="GL16" s="160"/>
      <c r="GM16" s="160"/>
      <c r="GN16" s="160"/>
      <c r="GO16" s="160"/>
      <c r="GP16" s="160"/>
      <c r="GQ16" s="160"/>
      <c r="GR16" s="160"/>
      <c r="GS16" s="160"/>
      <c r="GT16" s="160"/>
      <c r="GU16" s="160"/>
      <c r="GV16" s="160"/>
      <c r="GW16" s="160"/>
      <c r="GX16" s="160"/>
      <c r="GY16" s="160"/>
      <c r="GZ16" s="160"/>
      <c r="HA16" s="160"/>
      <c r="HB16" s="160"/>
      <c r="HC16" s="160"/>
      <c r="HD16" s="160"/>
      <c r="HE16" s="160"/>
      <c r="HF16" s="160"/>
      <c r="HG16" s="160"/>
      <c r="HH16" s="160"/>
      <c r="HI16" s="160"/>
      <c r="HJ16" s="160"/>
      <c r="HK16" s="160"/>
      <c r="HL16" s="160"/>
      <c r="HM16" s="160"/>
      <c r="HN16" s="160"/>
      <c r="HO16" s="160"/>
      <c r="HP16" s="160"/>
      <c r="HQ16" s="160"/>
      <c r="HR16" s="160"/>
      <c r="HS16" s="160"/>
      <c r="HT16" s="160"/>
      <c r="HU16" s="160"/>
      <c r="HV16" s="160"/>
      <c r="HW16" s="160"/>
      <c r="HX16" s="160"/>
      <c r="HY16" s="160"/>
      <c r="HZ16" s="160"/>
      <c r="IA16" s="160"/>
      <c r="IB16" s="160"/>
      <c r="IC16" s="160"/>
      <c r="ID16" s="160"/>
      <c r="IE16" s="160"/>
      <c r="IF16" s="160"/>
      <c r="IG16" s="160"/>
      <c r="IH16" s="160"/>
      <c r="II16" s="160"/>
      <c r="IJ16" s="160"/>
      <c r="IK16" s="160"/>
      <c r="IL16" s="160"/>
      <c r="IM16" s="160"/>
      <c r="IN16" s="160"/>
      <c r="IO16" s="160"/>
      <c r="IP16" s="160"/>
      <c r="IQ16" s="160"/>
      <c r="IR16" s="160"/>
      <c r="IS16" s="160"/>
      <c r="IT16" s="160"/>
      <c r="IU16" s="160"/>
      <c r="IV16" s="160"/>
    </row>
    <row r="17" spans="1:256" s="162" customFormat="1" ht="12.6" customHeight="1">
      <c r="A17" s="163">
        <v>342</v>
      </c>
      <c r="B17" s="156" t="s">
        <v>847</v>
      </c>
      <c r="C17" s="94">
        <f t="shared" si="1"/>
        <v>0</v>
      </c>
      <c r="D17" s="154">
        <f>SUMIFS('Plan rashoda za unos u SAP'!$I$3:$I$501,'Plan rashoda za unos u SAP'!$C$3:$C$501,"=11",'Plan rashoda za unos u SAP'!$M$3:$M$501,"=342")</f>
        <v>0</v>
      </c>
      <c r="E17" s="154">
        <f>SUMIFS('Plan rashoda za unos u SAP'!$I$3:$I$501,'Plan rashoda za unos u SAP'!$C$3:$C$501,"=12",'Plan rashoda za unos u SAP'!$M$3:$M$501,"=342")</f>
        <v>0</v>
      </c>
      <c r="F17" s="154">
        <f>SUMIFS('Plan rashoda za unos u SAP'!$I$3:$I$501,'Plan rashoda za unos u SAP'!$C$3:$C$501,"=31",'Plan rashoda za unos u SAP'!$M$3:$M$501,"=342")</f>
        <v>0</v>
      </c>
      <c r="G17" s="154">
        <f>SUMIFS('Plan rashoda za unos u SAP'!$I$3:$I$501,'Plan rashoda za unos u SAP'!$C$3:$C$501,"=43",'Plan rashoda za unos u SAP'!$M$3:$M$501,"=342")</f>
        <v>0</v>
      </c>
      <c r="H17" s="154">
        <f>SUMIFS('Plan rashoda za unos u SAP'!$I$3:$I$501,'Plan rashoda za unos u SAP'!$C$3:$C$501,"=51",'Plan rashoda za unos u SAP'!$M$3:$M$501,"=342")</f>
        <v>0</v>
      </c>
      <c r="I17" s="154">
        <f>SUMIFS('Plan rashoda za unos u SAP'!$I$3:$I$501,'Plan rashoda za unos u SAP'!$C$3:$C$501,"=52",'Plan rashoda za unos u SAP'!$M$3:$M$501,"=342")</f>
        <v>0</v>
      </c>
      <c r="J17" s="154">
        <f>SUMIFS('Plan rashoda za unos u SAP'!$I$3:$I$501,'Plan rashoda za unos u SAP'!$C$3:$C$501,"=559",'Plan rashoda za unos u SAP'!$M$3:$M$501,"=342")</f>
        <v>0</v>
      </c>
      <c r="K17" s="154">
        <f>SUMIFS('Plan rashoda za unos u SAP'!$I$3:$I$501,'Plan rashoda za unos u SAP'!$C$3:$C$501,"=561",'Plan rashoda za unos u SAP'!$M$3:$M$501,"=342")</f>
        <v>0</v>
      </c>
      <c r="L17" s="154">
        <f>SUMIFS('Plan rashoda za unos u SAP'!$I$3:$I$501,'Plan rashoda za unos u SAP'!$C$3:$C$501,"=563",'Plan rashoda za unos u SAP'!$M$3:$M$501,"=342")</f>
        <v>0</v>
      </c>
      <c r="M17" s="154">
        <f>SUMIFS('Plan rashoda za unos u SAP'!$I$3:$I$501,'Plan rashoda za unos u SAP'!$C$3:$C$501,"=61",'Plan rashoda za unos u SAP'!$M$3:$M$501,"=342")</f>
        <v>0</v>
      </c>
      <c r="N17" s="154">
        <f>SUMIFS('Plan rashoda za unos u SAP'!$I$3:$I$501,'Plan rashoda za unos u SAP'!$C$3:$C$501,"=63",'Plan rashoda za unos u SAP'!$M$3:$M$501,"=342")</f>
        <v>0</v>
      </c>
      <c r="O17" s="154">
        <f>SUMIFS('Plan rashoda za unos u SAP'!$I$3:$I$501,'Plan rashoda za unos u SAP'!$C$3:$C$501,"=71",'Plan rashoda za unos u SAP'!$M$3:$M$501,"=342")</f>
        <v>0</v>
      </c>
      <c r="P17" s="154">
        <f>SUMIFS('Plan rashoda za unos u SAP'!$I$3:$I$501,'Plan rashoda za unos u SAP'!$C$3:$C$501,"=81",'Plan rashoda za unos u SAP'!$M$3:$M$501,"=342")</f>
        <v>0</v>
      </c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</row>
    <row r="18" spans="1:256" s="164" customFormat="1" ht="12.6" customHeight="1">
      <c r="A18" s="163">
        <v>343</v>
      </c>
      <c r="B18" s="156" t="s">
        <v>848</v>
      </c>
      <c r="C18" s="94">
        <f t="shared" si="1"/>
        <v>0</v>
      </c>
      <c r="D18" s="154">
        <f>SUMIFS('Plan rashoda za unos u SAP'!$I$3:$I$501,'Plan rashoda za unos u SAP'!$C$3:$C$501,"=11",'Plan rashoda za unos u SAP'!$M$3:$M$501,"=343")</f>
        <v>0</v>
      </c>
      <c r="E18" s="154">
        <f>SUMIFS('Plan rashoda za unos u SAP'!$I$3:$I$501,'Plan rashoda za unos u SAP'!$C$3:$C$501,"=12",'Plan rashoda za unos u SAP'!$M$3:$M$501,"=343")</f>
        <v>0</v>
      </c>
      <c r="F18" s="154">
        <f>SUMIFS('Plan rashoda za unos u SAP'!$I$3:$I$501,'Plan rashoda za unos u SAP'!$C$3:$C$501,"=31",'Plan rashoda za unos u SAP'!$M$3:$M$501,"=343")</f>
        <v>0</v>
      </c>
      <c r="G18" s="154">
        <f>SUMIFS('Plan rashoda za unos u SAP'!$I$3:$I$501,'Plan rashoda za unos u SAP'!$C$3:$C$501,"=43",'Plan rashoda za unos u SAP'!$M$3:$M$501,"=343")</f>
        <v>0</v>
      </c>
      <c r="H18" s="154">
        <f>SUMIFS('Plan rashoda za unos u SAP'!$I$3:$I$501,'Plan rashoda za unos u SAP'!$C$3:$C$501,"=51",'Plan rashoda za unos u SAP'!$M$3:$M$501,"=343")</f>
        <v>0</v>
      </c>
      <c r="I18" s="154">
        <f>SUMIFS('Plan rashoda za unos u SAP'!$I$3:$I$501,'Plan rashoda za unos u SAP'!$C$3:$C$501,"=52",'Plan rashoda za unos u SAP'!$M$3:$M$501,"=343")</f>
        <v>0</v>
      </c>
      <c r="J18" s="154">
        <f>SUMIFS('Plan rashoda za unos u SAP'!$I$3:$I$501,'Plan rashoda za unos u SAP'!$C$3:$C$501,"=559",'Plan rashoda za unos u SAP'!$M$3:$M$501,"=343")</f>
        <v>0</v>
      </c>
      <c r="K18" s="154">
        <f>SUMIFS('Plan rashoda za unos u SAP'!$I$3:$I$501,'Plan rashoda za unos u SAP'!$C$3:$C$501,"=561",'Plan rashoda za unos u SAP'!$M$3:$M$501,"=343")</f>
        <v>0</v>
      </c>
      <c r="L18" s="154">
        <f>SUMIFS('Plan rashoda za unos u SAP'!$I$3:$I$501,'Plan rashoda za unos u SAP'!$C$3:$C$501,"=563",'Plan rashoda za unos u SAP'!$M$3:$M$501,"=343")</f>
        <v>0</v>
      </c>
      <c r="M18" s="154">
        <f>SUMIFS('Plan rashoda za unos u SAP'!$I$3:$I$501,'Plan rashoda za unos u SAP'!$C$3:$C$501,"=61",'Plan rashoda za unos u SAP'!$M$3:$M$501,"=343")</f>
        <v>0</v>
      </c>
      <c r="N18" s="154">
        <f>SUMIFS('Plan rashoda za unos u SAP'!$I$3:$I$501,'Plan rashoda za unos u SAP'!$C$3:$C$501,"=63",'Plan rashoda za unos u SAP'!$M$3:$M$501,"=343")</f>
        <v>0</v>
      </c>
      <c r="O18" s="154">
        <f>SUMIFS('Plan rashoda za unos u SAP'!$I$3:$I$501,'Plan rashoda za unos u SAP'!$C$3:$C$501,"=71",'Plan rashoda za unos u SAP'!$M$3:$M$501,"=343")</f>
        <v>0</v>
      </c>
      <c r="P18" s="154">
        <f>SUMIFS('Plan rashoda za unos u SAP'!$I$3:$I$501,'Plan rashoda za unos u SAP'!$C$3:$C$501,"=81",'Plan rashoda za unos u SAP'!$M$3:$M$501,"=343")</f>
        <v>0</v>
      </c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</row>
    <row r="19" spans="1:256" s="159" customFormat="1" ht="12.6" customHeight="1">
      <c r="A19" s="157">
        <v>35</v>
      </c>
      <c r="B19" s="158" t="s">
        <v>849</v>
      </c>
      <c r="C19" s="110">
        <f t="shared" si="1"/>
        <v>0</v>
      </c>
      <c r="D19" s="147">
        <f t="shared" ref="D19:P19" si="6">SUM(D20:D22)</f>
        <v>0</v>
      </c>
      <c r="E19" s="147">
        <f t="shared" si="6"/>
        <v>0</v>
      </c>
      <c r="F19" s="147">
        <f t="shared" si="6"/>
        <v>0</v>
      </c>
      <c r="G19" s="147">
        <f t="shared" si="6"/>
        <v>0</v>
      </c>
      <c r="H19" s="147">
        <f t="shared" si="6"/>
        <v>0</v>
      </c>
      <c r="I19" s="147">
        <f t="shared" si="6"/>
        <v>0</v>
      </c>
      <c r="J19" s="147">
        <f t="shared" si="6"/>
        <v>0</v>
      </c>
      <c r="K19" s="147">
        <f t="shared" si="6"/>
        <v>0</v>
      </c>
      <c r="L19" s="147">
        <f t="shared" si="6"/>
        <v>0</v>
      </c>
      <c r="M19" s="147">
        <f t="shared" si="6"/>
        <v>0</v>
      </c>
      <c r="N19" s="147">
        <f t="shared" si="6"/>
        <v>0</v>
      </c>
      <c r="O19" s="147">
        <f t="shared" si="6"/>
        <v>0</v>
      </c>
      <c r="P19" s="147">
        <f t="shared" si="6"/>
        <v>0</v>
      </c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  <c r="IK19" s="160"/>
      <c r="IL19" s="160"/>
      <c r="IM19" s="160"/>
      <c r="IN19" s="160"/>
      <c r="IO19" s="160"/>
      <c r="IP19" s="160"/>
      <c r="IQ19" s="160"/>
      <c r="IR19" s="160"/>
      <c r="IS19" s="160"/>
      <c r="IT19" s="160"/>
      <c r="IU19" s="160"/>
      <c r="IV19" s="160"/>
    </row>
    <row r="20" spans="1:256" s="134" customFormat="1" ht="12.6" customHeight="1">
      <c r="A20" s="152">
        <v>351</v>
      </c>
      <c r="B20" s="152" t="s">
        <v>677</v>
      </c>
      <c r="C20" s="94">
        <f t="shared" si="1"/>
        <v>0</v>
      </c>
      <c r="D20" s="154">
        <f>SUMIFS('Plan rashoda za unos u SAP'!$I$3:$I$501,'Plan rashoda za unos u SAP'!$C$3:$C$501,"=11",'Plan rashoda za unos u SAP'!$M$3:$M$501,"=351")</f>
        <v>0</v>
      </c>
      <c r="E20" s="154">
        <f>SUMIFS('Plan rashoda za unos u SAP'!$I$3:$I$501,'Plan rashoda za unos u SAP'!$C$3:$C$501,"=12",'Plan rashoda za unos u SAP'!$M$3:$M$501,"=351")</f>
        <v>0</v>
      </c>
      <c r="F20" s="154">
        <f>SUMIFS('Plan rashoda za unos u SAP'!$I$3:$I$501,'Plan rashoda za unos u SAP'!$C$3:$C$501,"=31",'Plan rashoda za unos u SAP'!$M$3:$M$501,"=351")</f>
        <v>0</v>
      </c>
      <c r="G20" s="154">
        <f>SUMIFS('Plan rashoda za unos u SAP'!$I$3:$I$501,'Plan rashoda za unos u SAP'!$C$3:$C$501,"=43",'Plan rashoda za unos u SAP'!$M$3:$M$501,"=351")</f>
        <v>0</v>
      </c>
      <c r="H20" s="154">
        <f>SUMIFS('Plan rashoda za unos u SAP'!$I$3:$I$501,'Plan rashoda za unos u SAP'!$C$3:$C$501,"=51",'Plan rashoda za unos u SAP'!$M$3:$M$501,"=351")</f>
        <v>0</v>
      </c>
      <c r="I20" s="154">
        <f>SUMIFS('Plan rashoda za unos u SAP'!$I$3:$I$501,'Plan rashoda za unos u SAP'!$C$3:$C$501,"=52",'Plan rashoda za unos u SAP'!$M$3:$M$501,"=351")</f>
        <v>0</v>
      </c>
      <c r="J20" s="154">
        <f>SUMIFS('Plan rashoda za unos u SAP'!$I$3:$I$501,'Plan rashoda za unos u SAP'!$C$3:$C$501,"=559",'Plan rashoda za unos u SAP'!$M$3:$M$501,"=351")</f>
        <v>0</v>
      </c>
      <c r="K20" s="154">
        <f>SUMIFS('Plan rashoda za unos u SAP'!$I$3:$I$501,'Plan rashoda za unos u SAP'!$C$3:$C$501,"=561",'Plan rashoda za unos u SAP'!$M$3:$M$501,"=351")</f>
        <v>0</v>
      </c>
      <c r="L20" s="154">
        <f>SUMIFS('Plan rashoda za unos u SAP'!$I$3:$I$501,'Plan rashoda za unos u SAP'!$C$3:$C$501,"=563",'Plan rashoda za unos u SAP'!$M$3:$M$501,"=351")</f>
        <v>0</v>
      </c>
      <c r="M20" s="154">
        <f>SUMIFS('Plan rashoda za unos u SAP'!$I$3:$I$501,'Plan rashoda za unos u SAP'!$C$3:$C$501,"=61",'Plan rashoda za unos u SAP'!$M$3:$M$501,"=351")</f>
        <v>0</v>
      </c>
      <c r="N20" s="154">
        <f>SUMIFS('Plan rashoda za unos u SAP'!$I$3:$I$501,'Plan rashoda za unos u SAP'!$C$3:$C$501,"=63",'Plan rashoda za unos u SAP'!$M$3:$M$501,"=351")</f>
        <v>0</v>
      </c>
      <c r="O20" s="154">
        <f>SUMIFS('Plan rashoda za unos u SAP'!$I$3:$I$501,'Plan rashoda za unos u SAP'!$C$3:$C$501,"=71",'Plan rashoda za unos u SAP'!$M$3:$M$501,"=351")</f>
        <v>0</v>
      </c>
      <c r="P20" s="154">
        <f>SUMIFS('Plan rashoda za unos u SAP'!$I$3:$I$501,'Plan rashoda za unos u SAP'!$C$3:$C$501,"=81",'Plan rashoda za unos u SAP'!$M$3:$M$501,"=351")</f>
        <v>0</v>
      </c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  <c r="II20" s="133"/>
      <c r="IJ20" s="133"/>
      <c r="IK20" s="133"/>
      <c r="IL20" s="133"/>
      <c r="IM20" s="133"/>
      <c r="IN20" s="133"/>
      <c r="IO20" s="133"/>
      <c r="IP20" s="133"/>
      <c r="IQ20" s="133"/>
      <c r="IR20" s="133"/>
      <c r="IS20" s="133"/>
      <c r="IT20" s="133"/>
      <c r="IU20" s="133"/>
      <c r="IV20" s="133"/>
    </row>
    <row r="21" spans="1:256" s="120" customFormat="1" ht="12.6" customHeight="1">
      <c r="A21" s="155">
        <v>352</v>
      </c>
      <c r="B21" s="156" t="s">
        <v>850</v>
      </c>
      <c r="C21" s="94">
        <f t="shared" si="1"/>
        <v>0</v>
      </c>
      <c r="D21" s="154">
        <f>SUMIFS('Plan rashoda za unos u SAP'!$I$3:$I$501,'Plan rashoda za unos u SAP'!$C$3:$C$501,"=11",'Plan rashoda za unos u SAP'!$M$3:$M$501,"=352")</f>
        <v>0</v>
      </c>
      <c r="E21" s="154">
        <f>SUMIFS('Plan rashoda za unos u SAP'!$I$3:$I$501,'Plan rashoda za unos u SAP'!$C$3:$C$501,"=12",'Plan rashoda za unos u SAP'!$M$3:$M$501,"=352")</f>
        <v>0</v>
      </c>
      <c r="F21" s="154">
        <f>SUMIFS('Plan rashoda za unos u SAP'!$I$3:$I$501,'Plan rashoda za unos u SAP'!$C$3:$C$501,"=31",'Plan rashoda za unos u SAP'!$M$3:$M$501,"=352")</f>
        <v>0</v>
      </c>
      <c r="G21" s="154">
        <f>SUMIFS('Plan rashoda za unos u SAP'!$I$3:$I$501,'Plan rashoda za unos u SAP'!$C$3:$C$501,"=43",'Plan rashoda za unos u SAP'!$M$3:$M$501,"=352")</f>
        <v>0</v>
      </c>
      <c r="H21" s="154">
        <f>SUMIFS('Plan rashoda za unos u SAP'!$I$3:$I$501,'Plan rashoda za unos u SAP'!$C$3:$C$501,"=51",'Plan rashoda za unos u SAP'!$M$3:$M$501,"=352")</f>
        <v>0</v>
      </c>
      <c r="I21" s="154">
        <f>SUMIFS('Plan rashoda za unos u SAP'!$I$3:$I$501,'Plan rashoda za unos u SAP'!$C$3:$C$501,"=52",'Plan rashoda za unos u SAP'!$M$3:$M$501,"=352")</f>
        <v>0</v>
      </c>
      <c r="J21" s="154">
        <f>SUMIFS('Plan rashoda za unos u SAP'!$I$3:$I$501,'Plan rashoda za unos u SAP'!$C$3:$C$501,"=559",'Plan rashoda za unos u SAP'!$M$3:$M$501,"=352")</f>
        <v>0</v>
      </c>
      <c r="K21" s="154">
        <f>SUMIFS('Plan rashoda za unos u SAP'!$I$3:$I$501,'Plan rashoda za unos u SAP'!$C$3:$C$501,"=561",'Plan rashoda za unos u SAP'!$M$3:$M$501,"=352")</f>
        <v>0</v>
      </c>
      <c r="L21" s="154">
        <f>SUMIFS('Plan rashoda za unos u SAP'!$I$3:$I$501,'Plan rashoda za unos u SAP'!$C$3:$C$501,"=563",'Plan rashoda za unos u SAP'!$M$3:$M$501,"=352")</f>
        <v>0</v>
      </c>
      <c r="M21" s="154">
        <f>SUMIFS('Plan rashoda za unos u SAP'!$I$3:$I$501,'Plan rashoda za unos u SAP'!$C$3:$C$501,"=61",'Plan rashoda za unos u SAP'!$M$3:$M$501,"=352")</f>
        <v>0</v>
      </c>
      <c r="N21" s="154">
        <f>SUMIFS('Plan rashoda za unos u SAP'!$I$3:$I$501,'Plan rashoda za unos u SAP'!$C$3:$C$501,"=63",'Plan rashoda za unos u SAP'!$M$3:$M$501,"=352")</f>
        <v>0</v>
      </c>
      <c r="O21" s="154">
        <f>SUMIFS('Plan rashoda za unos u SAP'!$I$3:$I$501,'Plan rashoda za unos u SAP'!$C$3:$C$501,"=71",'Plan rashoda za unos u SAP'!$M$3:$M$501,"=352")</f>
        <v>0</v>
      </c>
      <c r="P21" s="154">
        <f>SUMIFS('Plan rashoda za unos u SAP'!$I$3:$I$501,'Plan rashoda za unos u SAP'!$C$3:$C$501,"=81",'Plan rashoda za unos u SAP'!$M$3:$M$501,"=352")</f>
        <v>0</v>
      </c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  <c r="IR21" s="133"/>
      <c r="IS21" s="133"/>
      <c r="IT21" s="133"/>
      <c r="IU21" s="133"/>
      <c r="IV21" s="133"/>
    </row>
    <row r="22" spans="1:256" s="120" customFormat="1" ht="12.6" customHeight="1">
      <c r="A22" s="155">
        <v>353</v>
      </c>
      <c r="B22" s="156" t="s">
        <v>851</v>
      </c>
      <c r="C22" s="94">
        <f t="shared" si="1"/>
        <v>0</v>
      </c>
      <c r="D22" s="154">
        <f>SUMIFS('Plan rashoda za unos u SAP'!$I$3:$I$501,'Plan rashoda za unos u SAP'!$C$3:$C$501,"=11",'Plan rashoda za unos u SAP'!$M$3:$M$501,"=353")</f>
        <v>0</v>
      </c>
      <c r="E22" s="154">
        <f>SUMIFS('Plan rashoda za unos u SAP'!$I$3:$I$501,'Plan rashoda za unos u SAP'!$C$3:$C$501,"=12",'Plan rashoda za unos u SAP'!$M$3:$M$501,"=353")</f>
        <v>0</v>
      </c>
      <c r="F22" s="154">
        <f>SUMIFS('Plan rashoda za unos u SAP'!$I$3:$I$501,'Plan rashoda za unos u SAP'!$C$3:$C$501,"=31",'Plan rashoda za unos u SAP'!$M$3:$M$501,"=353")</f>
        <v>0</v>
      </c>
      <c r="G22" s="154">
        <f>SUMIFS('Plan rashoda za unos u SAP'!$I$3:$I$501,'Plan rashoda za unos u SAP'!$C$3:$C$501,"=43",'Plan rashoda za unos u SAP'!$M$3:$M$501,"=353")</f>
        <v>0</v>
      </c>
      <c r="H22" s="154">
        <f>SUMIFS('Plan rashoda za unos u SAP'!$I$3:$I$501,'Plan rashoda za unos u SAP'!$C$3:$C$501,"=51",'Plan rashoda za unos u SAP'!$M$3:$M$501,"=353")</f>
        <v>0</v>
      </c>
      <c r="I22" s="154">
        <f>SUMIFS('Plan rashoda za unos u SAP'!$I$3:$I$501,'Plan rashoda za unos u SAP'!$C$3:$C$501,"=52",'Plan rashoda za unos u SAP'!$M$3:$M$501,"=353")</f>
        <v>0</v>
      </c>
      <c r="J22" s="154">
        <f>SUMIFS('Plan rashoda za unos u SAP'!$I$3:$I$501,'Plan rashoda za unos u SAP'!$C$3:$C$501,"=559",'Plan rashoda za unos u SAP'!$M$3:$M$501,"=353")</f>
        <v>0</v>
      </c>
      <c r="K22" s="154">
        <f>SUMIFS('Plan rashoda za unos u SAP'!$I$3:$I$501,'Plan rashoda za unos u SAP'!$C$3:$C$501,"=561",'Plan rashoda za unos u SAP'!$M$3:$M$501,"=353")</f>
        <v>0</v>
      </c>
      <c r="L22" s="154">
        <f>SUMIFS('Plan rashoda za unos u SAP'!$I$3:$I$501,'Plan rashoda za unos u SAP'!$C$3:$C$501,"=563",'Plan rashoda za unos u SAP'!$M$3:$M$501,"=353")</f>
        <v>0</v>
      </c>
      <c r="M22" s="154">
        <f>SUMIFS('Plan rashoda za unos u SAP'!$I$3:$I$501,'Plan rashoda za unos u SAP'!$C$3:$C$501,"=61",'Plan rashoda za unos u SAP'!$M$3:$M$501,"=353")</f>
        <v>0</v>
      </c>
      <c r="N22" s="154">
        <f>SUMIFS('Plan rashoda za unos u SAP'!$I$3:$I$501,'Plan rashoda za unos u SAP'!$C$3:$C$501,"=63",'Plan rashoda za unos u SAP'!$M$3:$M$501,"=353")</f>
        <v>0</v>
      </c>
      <c r="O22" s="154">
        <f>SUMIFS('Plan rashoda za unos u SAP'!$I$3:$I$501,'Plan rashoda za unos u SAP'!$C$3:$C$501,"=71",'Plan rashoda za unos u SAP'!$M$3:$M$501,"=353")</f>
        <v>0</v>
      </c>
      <c r="P22" s="154">
        <f>SUMIFS('Plan rashoda za unos u SAP'!$I$3:$I$501,'Plan rashoda za unos u SAP'!$C$3:$C$501,"=81",'Plan rashoda za unos u SAP'!$M$3:$M$501,"=353")</f>
        <v>0</v>
      </c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  <c r="HK22" s="133"/>
      <c r="HL22" s="133"/>
      <c r="HM22" s="133"/>
      <c r="HN22" s="133"/>
      <c r="HO22" s="133"/>
      <c r="HP22" s="133"/>
      <c r="HQ22" s="133"/>
      <c r="HR22" s="133"/>
      <c r="HS22" s="133"/>
      <c r="HT22" s="133"/>
      <c r="HU22" s="133"/>
      <c r="HV22" s="133"/>
      <c r="HW22" s="133"/>
      <c r="HX22" s="133"/>
      <c r="HY22" s="133"/>
      <c r="HZ22" s="133"/>
      <c r="IA22" s="133"/>
      <c r="IB22" s="133"/>
      <c r="IC22" s="133"/>
      <c r="ID22" s="133"/>
      <c r="IE22" s="133"/>
      <c r="IF22" s="133"/>
      <c r="IG22" s="133"/>
      <c r="IH22" s="133"/>
      <c r="II22" s="133"/>
      <c r="IJ22" s="133"/>
      <c r="IK22" s="133"/>
      <c r="IL22" s="133"/>
      <c r="IM22" s="133"/>
      <c r="IN22" s="133"/>
      <c r="IO22" s="133"/>
      <c r="IP22" s="133"/>
      <c r="IQ22" s="133"/>
      <c r="IR22" s="133"/>
      <c r="IS22" s="133"/>
      <c r="IT22" s="133"/>
      <c r="IU22" s="133"/>
      <c r="IV22" s="133"/>
    </row>
    <row r="23" spans="1:256" s="159" customFormat="1" ht="12.6" customHeight="1">
      <c r="A23" s="157">
        <v>36</v>
      </c>
      <c r="B23" s="165" t="s">
        <v>852</v>
      </c>
      <c r="C23" s="110">
        <f t="shared" si="1"/>
        <v>0</v>
      </c>
      <c r="D23" s="147">
        <f t="shared" ref="D23:P23" si="7">SUM(D24:D29)</f>
        <v>0</v>
      </c>
      <c r="E23" s="147">
        <f t="shared" si="7"/>
        <v>0</v>
      </c>
      <c r="F23" s="147">
        <f t="shared" si="7"/>
        <v>0</v>
      </c>
      <c r="G23" s="147">
        <f t="shared" si="7"/>
        <v>0</v>
      </c>
      <c r="H23" s="147">
        <f t="shared" si="7"/>
        <v>0</v>
      </c>
      <c r="I23" s="147">
        <f t="shared" si="7"/>
        <v>0</v>
      </c>
      <c r="J23" s="147">
        <f t="shared" si="7"/>
        <v>0</v>
      </c>
      <c r="K23" s="147">
        <f t="shared" si="7"/>
        <v>0</v>
      </c>
      <c r="L23" s="147">
        <f t="shared" si="7"/>
        <v>0</v>
      </c>
      <c r="M23" s="147">
        <f t="shared" si="7"/>
        <v>0</v>
      </c>
      <c r="N23" s="147">
        <f t="shared" si="7"/>
        <v>0</v>
      </c>
      <c r="O23" s="147">
        <f t="shared" si="7"/>
        <v>0</v>
      </c>
      <c r="P23" s="147">
        <f t="shared" si="7"/>
        <v>0</v>
      </c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</row>
    <row r="24" spans="1:256" s="134" customFormat="1" ht="12.6" customHeight="1">
      <c r="A24" s="155">
        <v>361</v>
      </c>
      <c r="B24" s="155" t="s">
        <v>853</v>
      </c>
      <c r="C24" s="94">
        <f t="shared" si="1"/>
        <v>0</v>
      </c>
      <c r="D24" s="154">
        <f>SUMIFS('Plan rashoda za unos u SAP'!$I$3:$I$501,'Plan rashoda za unos u SAP'!$C$3:$C$501,"=11",'Plan rashoda za unos u SAP'!$M$3:$M$501,"=361")</f>
        <v>0</v>
      </c>
      <c r="E24" s="154">
        <f>SUMIFS('Plan rashoda za unos u SAP'!$I$3:$I$501,'Plan rashoda za unos u SAP'!$C$3:$C$501,"=12",'Plan rashoda za unos u SAP'!$M$3:$M$501,"=361")</f>
        <v>0</v>
      </c>
      <c r="F24" s="154">
        <f>SUMIFS('Plan rashoda za unos u SAP'!$I$3:$I$501,'Plan rashoda za unos u SAP'!$C$3:$C$501,"=31",'Plan rashoda za unos u SAP'!$M$3:$M$501,"=361")</f>
        <v>0</v>
      </c>
      <c r="G24" s="154">
        <f>SUMIFS('Plan rashoda za unos u SAP'!$I$3:$I$501,'Plan rashoda za unos u SAP'!$C$3:$C$501,"=43",'Plan rashoda za unos u SAP'!$M$3:$M$501,"=361")</f>
        <v>0</v>
      </c>
      <c r="H24" s="154">
        <f>SUMIFS('Plan rashoda za unos u SAP'!$I$3:$I$501,'Plan rashoda za unos u SAP'!$C$3:$C$501,"=51",'Plan rashoda za unos u SAP'!$M$3:$M$501,"=361")</f>
        <v>0</v>
      </c>
      <c r="I24" s="154">
        <f>SUMIFS('Plan rashoda za unos u SAP'!$I$3:$I$501,'Plan rashoda za unos u SAP'!$C$3:$C$501,"=52",'Plan rashoda za unos u SAP'!$M$3:$M$501,"=361")</f>
        <v>0</v>
      </c>
      <c r="J24" s="154">
        <f>SUMIFS('Plan rashoda za unos u SAP'!$I$3:$I$501,'Plan rashoda za unos u SAP'!$C$3:$C$501,"=559",'Plan rashoda za unos u SAP'!$M$3:$M$501,"=361")</f>
        <v>0</v>
      </c>
      <c r="K24" s="154">
        <f>SUMIFS('Plan rashoda za unos u SAP'!$I$3:$I$501,'Plan rashoda za unos u SAP'!$C$3:$C$501,"=561",'Plan rashoda za unos u SAP'!$M$3:$M$501,"=361")</f>
        <v>0</v>
      </c>
      <c r="L24" s="154">
        <f>SUMIFS('Plan rashoda za unos u SAP'!$I$3:$I$501,'Plan rashoda za unos u SAP'!$C$3:$C$501,"=563",'Plan rashoda za unos u SAP'!$M$3:$M$501,"=361")</f>
        <v>0</v>
      </c>
      <c r="M24" s="154">
        <f>SUMIFS('Plan rashoda za unos u SAP'!$I$3:$I$501,'Plan rashoda za unos u SAP'!$C$3:$C$501,"=61",'Plan rashoda za unos u SAP'!$M$3:$M$501,"=361")</f>
        <v>0</v>
      </c>
      <c r="N24" s="154">
        <f>SUMIFS('Plan rashoda za unos u SAP'!$I$3:$I$501,'Plan rashoda za unos u SAP'!$C$3:$C$501,"=63",'Plan rashoda za unos u SAP'!$M$3:$M$501,"=361")</f>
        <v>0</v>
      </c>
      <c r="O24" s="154">
        <f>SUMIFS('Plan rashoda za unos u SAP'!$I$3:$I$501,'Plan rashoda za unos u SAP'!$C$3:$C$501,"=71",'Plan rashoda za unos u SAP'!$M$3:$M$501,"=361")</f>
        <v>0</v>
      </c>
      <c r="P24" s="154">
        <f>SUMIFS('Plan rashoda za unos u SAP'!$I$3:$I$501,'Plan rashoda za unos u SAP'!$C$3:$C$501,"=81",'Plan rashoda za unos u SAP'!$M$3:$M$501,"=361")</f>
        <v>0</v>
      </c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3"/>
      <c r="GF24" s="133"/>
      <c r="GG24" s="133"/>
      <c r="GH24" s="133"/>
      <c r="GI24" s="133"/>
      <c r="GJ24" s="133"/>
      <c r="GK24" s="133"/>
      <c r="GL24" s="133"/>
      <c r="GM24" s="133"/>
      <c r="GN24" s="133"/>
      <c r="GO24" s="133"/>
      <c r="GP24" s="133"/>
      <c r="GQ24" s="133"/>
      <c r="GR24" s="133"/>
      <c r="GS24" s="133"/>
      <c r="GT24" s="133"/>
      <c r="GU24" s="133"/>
      <c r="GV24" s="133"/>
      <c r="GW24" s="133"/>
      <c r="GX24" s="133"/>
      <c r="GY24" s="133"/>
      <c r="GZ24" s="133"/>
      <c r="HA24" s="133"/>
      <c r="HB24" s="133"/>
      <c r="HC24" s="133"/>
      <c r="HD24" s="133"/>
      <c r="HE24" s="133"/>
      <c r="HF24" s="133"/>
      <c r="HG24" s="133"/>
      <c r="HH24" s="133"/>
      <c r="HI24" s="133"/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3"/>
      <c r="HU24" s="133"/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  <c r="IF24" s="133"/>
      <c r="IG24" s="133"/>
      <c r="IH24" s="133"/>
      <c r="II24" s="133"/>
      <c r="IJ24" s="133"/>
      <c r="IK24" s="133"/>
      <c r="IL24" s="133"/>
      <c r="IM24" s="133"/>
      <c r="IN24" s="133"/>
      <c r="IO24" s="133"/>
      <c r="IP24" s="133"/>
      <c r="IQ24" s="133"/>
      <c r="IR24" s="133"/>
      <c r="IS24" s="133"/>
      <c r="IT24" s="133"/>
      <c r="IU24" s="133"/>
      <c r="IV24" s="133"/>
    </row>
    <row r="25" spans="1:256" s="120" customFormat="1" ht="12.6" customHeight="1">
      <c r="A25" s="155">
        <v>362</v>
      </c>
      <c r="B25" s="156" t="s">
        <v>854</v>
      </c>
      <c r="C25" s="94">
        <f t="shared" si="1"/>
        <v>0</v>
      </c>
      <c r="D25" s="154">
        <f>SUMIFS('Plan rashoda za unos u SAP'!$I$3:$I$501,'Plan rashoda za unos u SAP'!$C$3:$C$501,"=11",'Plan rashoda za unos u SAP'!$M$3:$M$501,"=362")</f>
        <v>0</v>
      </c>
      <c r="E25" s="154">
        <f>SUMIFS('Plan rashoda za unos u SAP'!$I$3:$I$501,'Plan rashoda za unos u SAP'!$C$3:$C$501,"=12",'Plan rashoda za unos u SAP'!$M$3:$M$501,"=362")</f>
        <v>0</v>
      </c>
      <c r="F25" s="154">
        <f>SUMIFS('Plan rashoda za unos u SAP'!$I$3:$I$501,'Plan rashoda za unos u SAP'!$C$3:$C$501,"=31",'Plan rashoda za unos u SAP'!$M$3:$M$501,"=362")</f>
        <v>0</v>
      </c>
      <c r="G25" s="154">
        <f>SUMIFS('Plan rashoda za unos u SAP'!$I$3:$I$501,'Plan rashoda za unos u SAP'!$C$3:$C$501,"=43",'Plan rashoda za unos u SAP'!$M$3:$M$501,"=362")</f>
        <v>0</v>
      </c>
      <c r="H25" s="154">
        <f>SUMIFS('Plan rashoda za unos u SAP'!$I$3:$I$501,'Plan rashoda za unos u SAP'!$C$3:$C$501,"=51",'Plan rashoda za unos u SAP'!$M$3:$M$501,"=362")</f>
        <v>0</v>
      </c>
      <c r="I25" s="154">
        <f>SUMIFS('Plan rashoda za unos u SAP'!$I$3:$I$501,'Plan rashoda za unos u SAP'!$C$3:$C$501,"=52",'Plan rashoda za unos u SAP'!$M$3:$M$501,"=362")</f>
        <v>0</v>
      </c>
      <c r="J25" s="154">
        <f>SUMIFS('Plan rashoda za unos u SAP'!$I$3:$I$501,'Plan rashoda za unos u SAP'!$C$3:$C$501,"=559",'Plan rashoda za unos u SAP'!$M$3:$M$501,"=362")</f>
        <v>0</v>
      </c>
      <c r="K25" s="154">
        <f>SUMIFS('Plan rashoda za unos u SAP'!$I$3:$I$501,'Plan rashoda za unos u SAP'!$C$3:$C$501,"=561",'Plan rashoda za unos u SAP'!$M$3:$M$501,"=362")</f>
        <v>0</v>
      </c>
      <c r="L25" s="154">
        <f>SUMIFS('Plan rashoda za unos u SAP'!$I$3:$I$501,'Plan rashoda za unos u SAP'!$C$3:$C$501,"=563",'Plan rashoda za unos u SAP'!$M$3:$M$501,"=362")</f>
        <v>0</v>
      </c>
      <c r="M25" s="154">
        <f>SUMIFS('Plan rashoda za unos u SAP'!$I$3:$I$501,'Plan rashoda za unos u SAP'!$C$3:$C$501,"=61",'Plan rashoda za unos u SAP'!$M$3:$M$501,"=362")</f>
        <v>0</v>
      </c>
      <c r="N25" s="154">
        <f>SUMIFS('Plan rashoda za unos u SAP'!$I$3:$I$501,'Plan rashoda za unos u SAP'!$C$3:$C$501,"=63",'Plan rashoda za unos u SAP'!$M$3:$M$501,"=362")</f>
        <v>0</v>
      </c>
      <c r="O25" s="154">
        <f>SUMIFS('Plan rashoda za unos u SAP'!$I$3:$I$501,'Plan rashoda za unos u SAP'!$C$3:$C$501,"=71",'Plan rashoda za unos u SAP'!$M$3:$M$501,"=362")</f>
        <v>0</v>
      </c>
      <c r="P25" s="154">
        <f>SUMIFS('Plan rashoda za unos u SAP'!$I$3:$I$501,'Plan rashoda za unos u SAP'!$C$3:$C$501,"=81",'Plan rashoda za unos u SAP'!$M$3:$M$501,"=362")</f>
        <v>0</v>
      </c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3"/>
      <c r="GF25" s="133"/>
      <c r="GG25" s="133"/>
      <c r="GH25" s="133"/>
      <c r="GI25" s="133"/>
      <c r="GJ25" s="133"/>
      <c r="GK25" s="133"/>
      <c r="GL25" s="133"/>
      <c r="GM25" s="133"/>
      <c r="GN25" s="133"/>
      <c r="GO25" s="133"/>
      <c r="GP25" s="133"/>
      <c r="GQ25" s="133"/>
      <c r="GR25" s="133"/>
      <c r="GS25" s="133"/>
      <c r="GT25" s="133"/>
      <c r="GU25" s="133"/>
      <c r="GV25" s="133"/>
      <c r="GW25" s="133"/>
      <c r="GX25" s="133"/>
      <c r="GY25" s="133"/>
      <c r="GZ25" s="133"/>
      <c r="HA25" s="133"/>
      <c r="HB25" s="133"/>
      <c r="HC25" s="133"/>
      <c r="HD25" s="133"/>
      <c r="HE25" s="133"/>
      <c r="HF25" s="133"/>
      <c r="HG25" s="133"/>
      <c r="HH25" s="133"/>
      <c r="HI25" s="133"/>
      <c r="HJ25" s="133"/>
      <c r="HK25" s="133"/>
      <c r="HL25" s="133"/>
      <c r="HM25" s="133"/>
      <c r="HN25" s="133"/>
      <c r="HO25" s="133"/>
      <c r="HP25" s="133"/>
      <c r="HQ25" s="133"/>
      <c r="HR25" s="133"/>
      <c r="HS25" s="133"/>
      <c r="HT25" s="133"/>
      <c r="HU25" s="133"/>
      <c r="HV25" s="133"/>
      <c r="HW25" s="133"/>
      <c r="HX25" s="133"/>
      <c r="HY25" s="133"/>
      <c r="HZ25" s="133"/>
      <c r="IA25" s="133"/>
      <c r="IB25" s="133"/>
      <c r="IC25" s="133"/>
      <c r="ID25" s="133"/>
      <c r="IE25" s="133"/>
      <c r="IF25" s="133"/>
      <c r="IG25" s="133"/>
      <c r="IH25" s="133"/>
      <c r="II25" s="133"/>
      <c r="IJ25" s="133"/>
      <c r="IK25" s="133"/>
      <c r="IL25" s="133"/>
      <c r="IM25" s="133"/>
      <c r="IN25" s="133"/>
      <c r="IO25" s="133"/>
      <c r="IP25" s="133"/>
      <c r="IQ25" s="133"/>
      <c r="IR25" s="133"/>
      <c r="IS25" s="133"/>
      <c r="IT25" s="133"/>
      <c r="IU25" s="133"/>
      <c r="IV25" s="133"/>
    </row>
    <row r="26" spans="1:256" s="120" customFormat="1" ht="12.6" customHeight="1">
      <c r="A26" s="155">
        <v>363</v>
      </c>
      <c r="B26" s="156" t="s">
        <v>855</v>
      </c>
      <c r="C26" s="94">
        <f t="shared" si="1"/>
        <v>0</v>
      </c>
      <c r="D26" s="154">
        <f>SUMIFS('Plan rashoda za unos u SAP'!$I$3:$I$501,'Plan rashoda za unos u SAP'!$C$3:$C$501,"=11",'Plan rashoda za unos u SAP'!$M$3:$M$501,"=363")</f>
        <v>0</v>
      </c>
      <c r="E26" s="154">
        <f>SUMIFS('Plan rashoda za unos u SAP'!$I$3:$I$501,'Plan rashoda za unos u SAP'!$C$3:$C$501,"=12",'Plan rashoda za unos u SAP'!$M$3:$M$501,"=363")</f>
        <v>0</v>
      </c>
      <c r="F26" s="154">
        <f>SUMIFS('Plan rashoda za unos u SAP'!$I$3:$I$501,'Plan rashoda za unos u SAP'!$C$3:$C$501,"=31",'Plan rashoda za unos u SAP'!$M$3:$M$501,"=363")</f>
        <v>0</v>
      </c>
      <c r="G26" s="154">
        <f>SUMIFS('Plan rashoda za unos u SAP'!$I$3:$I$501,'Plan rashoda za unos u SAP'!$C$3:$C$501,"=43",'Plan rashoda za unos u SAP'!$M$3:$M$501,"=363")</f>
        <v>0</v>
      </c>
      <c r="H26" s="154">
        <f>SUMIFS('Plan rashoda za unos u SAP'!$I$3:$I$501,'Plan rashoda za unos u SAP'!$C$3:$C$501,"=51",'Plan rashoda za unos u SAP'!$M$3:$M$501,"=363")</f>
        <v>0</v>
      </c>
      <c r="I26" s="154">
        <f>SUMIFS('Plan rashoda za unos u SAP'!$I$3:$I$501,'Plan rashoda za unos u SAP'!$C$3:$C$501,"=52",'Plan rashoda za unos u SAP'!$M$3:$M$501,"=363")</f>
        <v>0</v>
      </c>
      <c r="J26" s="154">
        <f>SUMIFS('Plan rashoda za unos u SAP'!$I$3:$I$501,'Plan rashoda za unos u SAP'!$C$3:$C$501,"=559",'Plan rashoda za unos u SAP'!$M$3:$M$501,"=363")</f>
        <v>0</v>
      </c>
      <c r="K26" s="154">
        <f>SUMIFS('Plan rashoda za unos u SAP'!$I$3:$I$501,'Plan rashoda za unos u SAP'!$C$3:$C$501,"=561",'Plan rashoda za unos u SAP'!$M$3:$M$501,"=363")</f>
        <v>0</v>
      </c>
      <c r="L26" s="154">
        <f>SUMIFS('Plan rashoda za unos u SAP'!$I$3:$I$501,'Plan rashoda za unos u SAP'!$C$3:$C$501,"=563",'Plan rashoda za unos u SAP'!$M$3:$M$501,"=363")</f>
        <v>0</v>
      </c>
      <c r="M26" s="154">
        <f>SUMIFS('Plan rashoda za unos u SAP'!$I$3:$I$501,'Plan rashoda za unos u SAP'!$C$3:$C$501,"=61",'Plan rashoda za unos u SAP'!$M$3:$M$501,"=363")</f>
        <v>0</v>
      </c>
      <c r="N26" s="154">
        <f>SUMIFS('Plan rashoda za unos u SAP'!$I$3:$I$501,'Plan rashoda za unos u SAP'!$C$3:$C$501,"=63",'Plan rashoda za unos u SAP'!$M$3:$M$501,"=363")</f>
        <v>0</v>
      </c>
      <c r="O26" s="154">
        <f>SUMIFS('Plan rashoda za unos u SAP'!$I$3:$I$501,'Plan rashoda za unos u SAP'!$C$3:$C$501,"=71",'Plan rashoda za unos u SAP'!$M$3:$M$501,"=363")</f>
        <v>0</v>
      </c>
      <c r="P26" s="154">
        <f>SUMIFS('Plan rashoda za unos u SAP'!$I$3:$I$501,'Plan rashoda za unos u SAP'!$C$3:$C$501,"=81",'Plan rashoda za unos u SAP'!$M$3:$M$501,"=363")</f>
        <v>0</v>
      </c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3"/>
      <c r="GF26" s="133"/>
      <c r="GG26" s="133"/>
      <c r="GH26" s="133"/>
      <c r="GI26" s="133"/>
      <c r="GJ26" s="133"/>
      <c r="GK26" s="133"/>
      <c r="GL26" s="133"/>
      <c r="GM26" s="133"/>
      <c r="GN26" s="133"/>
      <c r="GO26" s="133"/>
      <c r="GP26" s="133"/>
      <c r="GQ26" s="133"/>
      <c r="GR26" s="133"/>
      <c r="GS26" s="133"/>
      <c r="GT26" s="133"/>
      <c r="GU26" s="133"/>
      <c r="GV26" s="133"/>
      <c r="GW26" s="133"/>
      <c r="GX26" s="133"/>
      <c r="GY26" s="133"/>
      <c r="GZ26" s="133"/>
      <c r="HA26" s="133"/>
      <c r="HB26" s="133"/>
      <c r="HC26" s="133"/>
      <c r="HD26" s="133"/>
      <c r="HE26" s="133"/>
      <c r="HF26" s="133"/>
      <c r="HG26" s="133"/>
      <c r="HH26" s="133"/>
      <c r="HI26" s="133"/>
      <c r="HJ26" s="133"/>
      <c r="HK26" s="133"/>
      <c r="HL26" s="133"/>
      <c r="HM26" s="133"/>
      <c r="HN26" s="133"/>
      <c r="HO26" s="133"/>
      <c r="HP26" s="133"/>
      <c r="HQ26" s="133"/>
      <c r="HR26" s="133"/>
      <c r="HS26" s="133"/>
      <c r="HT26" s="133"/>
      <c r="HU26" s="133"/>
      <c r="HV26" s="133"/>
      <c r="HW26" s="133"/>
      <c r="HX26" s="133"/>
      <c r="HY26" s="133"/>
      <c r="HZ26" s="133"/>
      <c r="IA26" s="133"/>
      <c r="IB26" s="133"/>
      <c r="IC26" s="133"/>
      <c r="ID26" s="133"/>
      <c r="IE26" s="133"/>
      <c r="IF26" s="133"/>
      <c r="IG26" s="133"/>
      <c r="IH26" s="133"/>
      <c r="II26" s="133"/>
      <c r="IJ26" s="133"/>
      <c r="IK26" s="133"/>
      <c r="IL26" s="133"/>
      <c r="IM26" s="133"/>
      <c r="IN26" s="133"/>
      <c r="IO26" s="133"/>
      <c r="IP26" s="133"/>
      <c r="IQ26" s="133"/>
      <c r="IR26" s="133"/>
      <c r="IS26" s="133"/>
      <c r="IT26" s="133"/>
      <c r="IU26" s="133"/>
      <c r="IV26" s="133"/>
    </row>
    <row r="27" spans="1:256" s="120" customFormat="1" ht="12.6" customHeight="1">
      <c r="A27" s="155">
        <v>366</v>
      </c>
      <c r="B27" s="156" t="s">
        <v>856</v>
      </c>
      <c r="C27" s="94">
        <f t="shared" si="1"/>
        <v>0</v>
      </c>
      <c r="D27" s="154">
        <f>SUMIFS('Plan rashoda za unos u SAP'!$I$3:$I$501,'Plan rashoda za unos u SAP'!$C$3:$C$501,"=11",'Plan rashoda za unos u SAP'!$M$3:$M$501,"=366")</f>
        <v>0</v>
      </c>
      <c r="E27" s="154">
        <f>SUMIFS('Plan rashoda za unos u SAP'!$I$3:$I$501,'Plan rashoda za unos u SAP'!$C$3:$C$501,"=12",'Plan rashoda za unos u SAP'!$M$3:$M$501,"=366")</f>
        <v>0</v>
      </c>
      <c r="F27" s="154">
        <f>SUMIFS('Plan rashoda za unos u SAP'!$I$3:$I$501,'Plan rashoda za unos u SAP'!$C$3:$C$501,"=31",'Plan rashoda za unos u SAP'!$M$3:$M$501,"=366")</f>
        <v>0</v>
      </c>
      <c r="G27" s="154">
        <f>SUMIFS('Plan rashoda za unos u SAP'!$I$3:$I$501,'Plan rashoda za unos u SAP'!$C$3:$C$501,"=43",'Plan rashoda za unos u SAP'!$M$3:$M$501,"=366")</f>
        <v>0</v>
      </c>
      <c r="H27" s="154">
        <f>SUMIFS('Plan rashoda za unos u SAP'!$I$3:$I$501,'Plan rashoda za unos u SAP'!$C$3:$C$501,"=51",'Plan rashoda za unos u SAP'!$M$3:$M$501,"=366")</f>
        <v>0</v>
      </c>
      <c r="I27" s="154">
        <f>SUMIFS('Plan rashoda za unos u SAP'!$I$3:$I$501,'Plan rashoda za unos u SAP'!$C$3:$C$501,"=52",'Plan rashoda za unos u SAP'!$M$3:$M$501,"=366")</f>
        <v>0</v>
      </c>
      <c r="J27" s="154">
        <f>SUMIFS('Plan rashoda za unos u SAP'!$I$3:$I$501,'Plan rashoda za unos u SAP'!$C$3:$C$501,"=559",'Plan rashoda za unos u SAP'!$M$3:$M$501,"=366")</f>
        <v>0</v>
      </c>
      <c r="K27" s="154">
        <f>SUMIFS('Plan rashoda za unos u SAP'!$I$3:$I$501,'Plan rashoda za unos u SAP'!$C$3:$C$501,"=561",'Plan rashoda za unos u SAP'!$M$3:$M$501,"=366")</f>
        <v>0</v>
      </c>
      <c r="L27" s="154">
        <f>SUMIFS('Plan rashoda za unos u SAP'!$I$3:$I$501,'Plan rashoda za unos u SAP'!$C$3:$C$501,"=563",'Plan rashoda za unos u SAP'!$M$3:$M$501,"=366")</f>
        <v>0</v>
      </c>
      <c r="M27" s="154">
        <f>SUMIFS('Plan rashoda za unos u SAP'!$I$3:$I$501,'Plan rashoda za unos u SAP'!$C$3:$C$501,"=61",'Plan rashoda za unos u SAP'!$M$3:$M$501,"=366")</f>
        <v>0</v>
      </c>
      <c r="N27" s="154">
        <f>SUMIFS('Plan rashoda za unos u SAP'!$I$3:$I$501,'Plan rashoda za unos u SAP'!$C$3:$C$501,"=63",'Plan rashoda za unos u SAP'!$M$3:$M$501,"=366")</f>
        <v>0</v>
      </c>
      <c r="O27" s="154">
        <f>SUMIFS('Plan rashoda za unos u SAP'!$I$3:$I$501,'Plan rashoda za unos u SAP'!$C$3:$C$501,"=71",'Plan rashoda za unos u SAP'!$M$3:$M$501,"=366")</f>
        <v>0</v>
      </c>
      <c r="P27" s="154">
        <f>SUMIFS('Plan rashoda za unos u SAP'!$I$3:$I$501,'Plan rashoda za unos u SAP'!$C$3:$C$501,"=81",'Plan rashoda za unos u SAP'!$M$3:$M$501,"=366")</f>
        <v>0</v>
      </c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3"/>
      <c r="GF27" s="133"/>
      <c r="GG27" s="133"/>
      <c r="GH27" s="133"/>
      <c r="GI27" s="133"/>
      <c r="GJ27" s="133"/>
      <c r="GK27" s="133"/>
      <c r="GL27" s="133"/>
      <c r="GM27" s="133"/>
      <c r="GN27" s="133"/>
      <c r="GO27" s="133"/>
      <c r="GP27" s="133"/>
      <c r="GQ27" s="133"/>
      <c r="GR27" s="133"/>
      <c r="GS27" s="133"/>
      <c r="GT27" s="133"/>
      <c r="GU27" s="133"/>
      <c r="GV27" s="133"/>
      <c r="GW27" s="133"/>
      <c r="GX27" s="133"/>
      <c r="GY27" s="133"/>
      <c r="GZ27" s="133"/>
      <c r="HA27" s="133"/>
      <c r="HB27" s="133"/>
      <c r="HC27" s="133"/>
      <c r="HD27" s="133"/>
      <c r="HE27" s="133"/>
      <c r="HF27" s="133"/>
      <c r="HG27" s="133"/>
      <c r="HH27" s="133"/>
      <c r="HI27" s="133"/>
      <c r="HJ27" s="133"/>
      <c r="HK27" s="133"/>
      <c r="HL27" s="133"/>
      <c r="HM27" s="133"/>
      <c r="HN27" s="133"/>
      <c r="HO27" s="133"/>
      <c r="HP27" s="133"/>
      <c r="HQ27" s="133"/>
      <c r="HR27" s="133"/>
      <c r="HS27" s="133"/>
      <c r="HT27" s="133"/>
      <c r="HU27" s="133"/>
      <c r="HV27" s="133"/>
      <c r="HW27" s="133"/>
      <c r="HX27" s="133"/>
      <c r="HY27" s="133"/>
      <c r="HZ27" s="133"/>
      <c r="IA27" s="133"/>
      <c r="IB27" s="133"/>
      <c r="IC27" s="133"/>
      <c r="ID27" s="133"/>
      <c r="IE27" s="133"/>
      <c r="IF27" s="133"/>
      <c r="IG27" s="133"/>
      <c r="IH27" s="133"/>
      <c r="II27" s="133"/>
      <c r="IJ27" s="133"/>
      <c r="IK27" s="133"/>
      <c r="IL27" s="133"/>
      <c r="IM27" s="133"/>
      <c r="IN27" s="133"/>
      <c r="IO27" s="133"/>
      <c r="IP27" s="133"/>
      <c r="IQ27" s="133"/>
      <c r="IR27" s="133"/>
      <c r="IS27" s="133"/>
      <c r="IT27" s="133"/>
      <c r="IU27" s="133"/>
      <c r="IV27" s="133"/>
    </row>
    <row r="28" spans="1:256" s="120" customFormat="1" ht="12.6" customHeight="1">
      <c r="A28" s="155">
        <v>368</v>
      </c>
      <c r="B28" s="156" t="s">
        <v>790</v>
      </c>
      <c r="C28" s="94">
        <f t="shared" si="1"/>
        <v>0</v>
      </c>
      <c r="D28" s="154">
        <f>SUMIFS('Plan rashoda za unos u SAP'!$I$3:$I$501,'Plan rashoda za unos u SAP'!$C$3:$C$501,"=11",'Plan rashoda za unos u SAP'!$M$3:$M$501,"=368")</f>
        <v>0</v>
      </c>
      <c r="E28" s="154">
        <f>SUMIFS('Plan rashoda za unos u SAP'!$I$3:$I$501,'Plan rashoda za unos u SAP'!$C$3:$C$501,"=12",'Plan rashoda za unos u SAP'!$M$3:$M$501,"=368")</f>
        <v>0</v>
      </c>
      <c r="F28" s="154">
        <f>SUMIFS('Plan rashoda za unos u SAP'!$I$3:$I$501,'Plan rashoda za unos u SAP'!$C$3:$C$501,"=31",'Plan rashoda za unos u SAP'!$M$3:$M$501,"=368")</f>
        <v>0</v>
      </c>
      <c r="G28" s="154">
        <f>SUMIFS('Plan rashoda za unos u SAP'!$I$3:$I$501,'Plan rashoda za unos u SAP'!$C$3:$C$501,"=43",'Plan rashoda za unos u SAP'!$M$3:$M$501,"=368")</f>
        <v>0</v>
      </c>
      <c r="H28" s="154">
        <f>SUMIFS('Plan rashoda za unos u SAP'!$I$3:$I$501,'Plan rashoda za unos u SAP'!$C$3:$C$501,"=51",'Plan rashoda za unos u SAP'!$M$3:$M$501,"=368")</f>
        <v>0</v>
      </c>
      <c r="I28" s="154">
        <f>SUMIFS('Plan rashoda za unos u SAP'!$I$3:$I$501,'Plan rashoda za unos u SAP'!$C$3:$C$501,"=52",'Plan rashoda za unos u SAP'!$M$3:$M$501,"=368")</f>
        <v>0</v>
      </c>
      <c r="J28" s="154">
        <f>SUMIFS('Plan rashoda za unos u SAP'!$I$3:$I$501,'Plan rashoda za unos u SAP'!$C$3:$C$501,"=559",'Plan rashoda za unos u SAP'!$M$3:$M$501,"=368")</f>
        <v>0</v>
      </c>
      <c r="K28" s="154">
        <f>SUMIFS('Plan rashoda za unos u SAP'!$I$3:$I$501,'Plan rashoda za unos u SAP'!$C$3:$C$501,"=561",'Plan rashoda za unos u SAP'!$M$3:$M$501,"=368")</f>
        <v>0</v>
      </c>
      <c r="L28" s="154">
        <f>SUMIFS('Plan rashoda za unos u SAP'!$I$3:$I$501,'Plan rashoda za unos u SAP'!$C$3:$C$501,"=563",'Plan rashoda za unos u SAP'!$M$3:$M$501,"=368")</f>
        <v>0</v>
      </c>
      <c r="M28" s="154">
        <f>SUMIFS('Plan rashoda za unos u SAP'!$I$3:$I$501,'Plan rashoda za unos u SAP'!$C$3:$C$501,"=61",'Plan rashoda za unos u SAP'!$M$3:$M$501,"=368")</f>
        <v>0</v>
      </c>
      <c r="N28" s="154">
        <f>SUMIFS('Plan rashoda za unos u SAP'!$I$3:$I$501,'Plan rashoda za unos u SAP'!$C$3:$C$501,"=63",'Plan rashoda za unos u SAP'!$M$3:$M$501,"=368")</f>
        <v>0</v>
      </c>
      <c r="O28" s="154">
        <f>SUMIFS('Plan rashoda za unos u SAP'!$I$3:$I$501,'Plan rashoda za unos u SAP'!$C$3:$C$501,"=71",'Plan rashoda za unos u SAP'!$M$3:$M$501,"=368")</f>
        <v>0</v>
      </c>
      <c r="P28" s="154">
        <f>SUMIFS('Plan rashoda za unos u SAP'!$I$3:$I$501,'Plan rashoda za unos u SAP'!$C$3:$C$501,"=81",'Plan rashoda za unos u SAP'!$M$3:$M$501,"=368")</f>
        <v>0</v>
      </c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3"/>
      <c r="GF28" s="133"/>
      <c r="GG28" s="133"/>
      <c r="GH28" s="133"/>
      <c r="GI28" s="133"/>
      <c r="GJ28" s="133"/>
      <c r="GK28" s="133"/>
      <c r="GL28" s="133"/>
      <c r="GM28" s="133"/>
      <c r="GN28" s="133"/>
      <c r="GO28" s="133"/>
      <c r="GP28" s="133"/>
      <c r="GQ28" s="133"/>
      <c r="GR28" s="133"/>
      <c r="GS28" s="133"/>
      <c r="GT28" s="133"/>
      <c r="GU28" s="133"/>
      <c r="GV28" s="133"/>
      <c r="GW28" s="133"/>
      <c r="GX28" s="133"/>
      <c r="GY28" s="133"/>
      <c r="GZ28" s="133"/>
      <c r="HA28" s="133"/>
      <c r="HB28" s="133"/>
      <c r="HC28" s="133"/>
      <c r="HD28" s="133"/>
      <c r="HE28" s="133"/>
      <c r="HF28" s="133"/>
      <c r="HG28" s="133"/>
      <c r="HH28" s="133"/>
      <c r="HI28" s="133"/>
      <c r="HJ28" s="133"/>
      <c r="HK28" s="133"/>
      <c r="HL28" s="133"/>
      <c r="HM28" s="133"/>
      <c r="HN28" s="133"/>
      <c r="HO28" s="133"/>
      <c r="HP28" s="133"/>
      <c r="HQ28" s="133"/>
      <c r="HR28" s="133"/>
      <c r="HS28" s="133"/>
      <c r="HT28" s="133"/>
      <c r="HU28" s="133"/>
      <c r="HV28" s="133"/>
      <c r="HW28" s="133"/>
      <c r="HX28" s="133"/>
      <c r="HY28" s="133"/>
      <c r="HZ28" s="133"/>
      <c r="IA28" s="133"/>
      <c r="IB28" s="133"/>
      <c r="IC28" s="133"/>
      <c r="ID28" s="133"/>
      <c r="IE28" s="133"/>
      <c r="IF28" s="133"/>
      <c r="IG28" s="133"/>
      <c r="IH28" s="133"/>
      <c r="II28" s="133"/>
      <c r="IJ28" s="133"/>
      <c r="IK28" s="133"/>
      <c r="IL28" s="133"/>
      <c r="IM28" s="133"/>
      <c r="IN28" s="133"/>
      <c r="IO28" s="133"/>
      <c r="IP28" s="133"/>
      <c r="IQ28" s="133"/>
      <c r="IR28" s="133"/>
      <c r="IS28" s="133"/>
      <c r="IT28" s="133"/>
      <c r="IU28" s="133"/>
      <c r="IV28" s="133"/>
    </row>
    <row r="29" spans="1:256" s="120" customFormat="1" ht="12.6" customHeight="1">
      <c r="A29" s="155">
        <v>369</v>
      </c>
      <c r="B29" s="156" t="s">
        <v>792</v>
      </c>
      <c r="C29" s="94">
        <f t="shared" si="1"/>
        <v>0</v>
      </c>
      <c r="D29" s="154">
        <f>SUMIFS('Plan rashoda za unos u SAP'!$I$3:$I$501,'Plan rashoda za unos u SAP'!$C$3:$C$501,"=11",'Plan rashoda za unos u SAP'!$M$3:$M$501,"=369")</f>
        <v>0</v>
      </c>
      <c r="E29" s="154">
        <f>SUMIFS('Plan rashoda za unos u SAP'!$I$3:$I$501,'Plan rashoda za unos u SAP'!$C$3:$C$501,"=12",'Plan rashoda za unos u SAP'!$M$3:$M$501,"=369")</f>
        <v>0</v>
      </c>
      <c r="F29" s="154">
        <f>SUMIFS('Plan rashoda za unos u SAP'!$I$3:$I$501,'Plan rashoda za unos u SAP'!$C$3:$C$501,"=31",'Plan rashoda za unos u SAP'!$M$3:$M$501,"=369")</f>
        <v>0</v>
      </c>
      <c r="G29" s="154">
        <f>SUMIFS('Plan rashoda za unos u SAP'!$I$3:$I$501,'Plan rashoda za unos u SAP'!$C$3:$C$501,"=43",'Plan rashoda za unos u SAP'!$M$3:$M$501,"=369")</f>
        <v>0</v>
      </c>
      <c r="H29" s="154">
        <f>SUMIFS('Plan rashoda za unos u SAP'!$I$3:$I$501,'Plan rashoda za unos u SAP'!$C$3:$C$501,"=51",'Plan rashoda za unos u SAP'!$M$3:$M$501,"=369")</f>
        <v>0</v>
      </c>
      <c r="I29" s="154">
        <f>SUMIFS('Plan rashoda za unos u SAP'!$I$3:$I$501,'Plan rashoda za unos u SAP'!$C$3:$C$501,"=52",'Plan rashoda za unos u SAP'!$M$3:$M$501,"=369")</f>
        <v>0</v>
      </c>
      <c r="J29" s="154">
        <f>SUMIFS('Plan rashoda za unos u SAP'!$I$3:$I$501,'Plan rashoda za unos u SAP'!$C$3:$C$501,"=559",'Plan rashoda za unos u SAP'!$M$3:$M$501,"=369")</f>
        <v>0</v>
      </c>
      <c r="K29" s="154">
        <f>SUMIFS('Plan rashoda za unos u SAP'!$I$3:$I$501,'Plan rashoda za unos u SAP'!$C$3:$C$501,"=561",'Plan rashoda za unos u SAP'!$M$3:$M$501,"=369")</f>
        <v>0</v>
      </c>
      <c r="L29" s="154">
        <f>SUMIFS('Plan rashoda za unos u SAP'!$I$3:$I$501,'Plan rashoda za unos u SAP'!$C$3:$C$501,"=563",'Plan rashoda za unos u SAP'!$M$3:$M$501,"=369")</f>
        <v>0</v>
      </c>
      <c r="M29" s="154">
        <f>SUMIFS('Plan rashoda za unos u SAP'!$I$3:$I$501,'Plan rashoda za unos u SAP'!$C$3:$C$501,"=61",'Plan rashoda za unos u SAP'!$M$3:$M$501,"=369")</f>
        <v>0</v>
      </c>
      <c r="N29" s="154">
        <f>SUMIFS('Plan rashoda za unos u SAP'!$I$3:$I$501,'Plan rashoda za unos u SAP'!$C$3:$C$501,"=63",'Plan rashoda za unos u SAP'!$M$3:$M$501,"=369")</f>
        <v>0</v>
      </c>
      <c r="O29" s="154">
        <f>SUMIFS('Plan rashoda za unos u SAP'!$I$3:$I$501,'Plan rashoda za unos u SAP'!$C$3:$C$501,"=71",'Plan rashoda za unos u SAP'!$M$3:$M$501,"=369")</f>
        <v>0</v>
      </c>
      <c r="P29" s="154">
        <f>SUMIFS('Plan rashoda za unos u SAP'!$I$3:$I$501,'Plan rashoda za unos u SAP'!$C$3:$C$501,"=81",'Plan rashoda za unos u SAP'!$M$3:$M$501,"=369")</f>
        <v>0</v>
      </c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33"/>
      <c r="GX29" s="133"/>
      <c r="GY29" s="133"/>
      <c r="GZ29" s="133"/>
      <c r="HA29" s="133"/>
      <c r="HB29" s="133"/>
      <c r="HC29" s="133"/>
      <c r="HD29" s="133"/>
      <c r="HE29" s="133"/>
      <c r="HF29" s="133"/>
      <c r="HG29" s="133"/>
      <c r="HH29" s="133"/>
      <c r="HI29" s="133"/>
      <c r="HJ29" s="133"/>
      <c r="HK29" s="133"/>
      <c r="HL29" s="133"/>
      <c r="HM29" s="133"/>
      <c r="HN29" s="133"/>
      <c r="HO29" s="133"/>
      <c r="HP29" s="133"/>
      <c r="HQ29" s="133"/>
      <c r="HR29" s="133"/>
      <c r="HS29" s="133"/>
      <c r="HT29" s="133"/>
      <c r="HU29" s="133"/>
      <c r="HV29" s="133"/>
      <c r="HW29" s="133"/>
      <c r="HX29" s="133"/>
      <c r="HY29" s="133"/>
      <c r="HZ29" s="133"/>
      <c r="IA29" s="133"/>
      <c r="IB29" s="133"/>
      <c r="IC29" s="133"/>
      <c r="ID29" s="133"/>
      <c r="IE29" s="133"/>
      <c r="IF29" s="133"/>
      <c r="IG29" s="133"/>
      <c r="IH29" s="133"/>
      <c r="II29" s="133"/>
      <c r="IJ29" s="133"/>
      <c r="IK29" s="133"/>
      <c r="IL29" s="133"/>
      <c r="IM29" s="133"/>
      <c r="IN29" s="133"/>
      <c r="IO29" s="133"/>
      <c r="IP29" s="133"/>
      <c r="IQ29" s="133"/>
      <c r="IR29" s="133"/>
      <c r="IS29" s="133"/>
      <c r="IT29" s="133"/>
      <c r="IU29" s="133"/>
      <c r="IV29" s="133"/>
    </row>
    <row r="30" spans="1:256" s="166" customFormat="1" ht="12.6" customHeight="1">
      <c r="A30" s="157">
        <v>37</v>
      </c>
      <c r="B30" s="158" t="s">
        <v>857</v>
      </c>
      <c r="C30" s="110">
        <f t="shared" si="1"/>
        <v>0</v>
      </c>
      <c r="D30" s="110">
        <f t="shared" ref="D30:P30" si="8">SUM(D31:D32)</f>
        <v>0</v>
      </c>
      <c r="E30" s="110">
        <f t="shared" si="8"/>
        <v>0</v>
      </c>
      <c r="F30" s="110">
        <f t="shared" si="8"/>
        <v>0</v>
      </c>
      <c r="G30" s="110">
        <f t="shared" si="8"/>
        <v>0</v>
      </c>
      <c r="H30" s="110">
        <f t="shared" si="8"/>
        <v>0</v>
      </c>
      <c r="I30" s="110">
        <f t="shared" si="8"/>
        <v>0</v>
      </c>
      <c r="J30" s="110">
        <f t="shared" si="8"/>
        <v>0</v>
      </c>
      <c r="K30" s="110">
        <f t="shared" si="8"/>
        <v>0</v>
      </c>
      <c r="L30" s="110">
        <f t="shared" si="8"/>
        <v>0</v>
      </c>
      <c r="M30" s="110">
        <f t="shared" si="8"/>
        <v>0</v>
      </c>
      <c r="N30" s="110">
        <f t="shared" si="8"/>
        <v>0</v>
      </c>
      <c r="O30" s="110">
        <f t="shared" si="8"/>
        <v>0</v>
      </c>
      <c r="P30" s="110">
        <f t="shared" si="8"/>
        <v>0</v>
      </c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</row>
    <row r="31" spans="1:256" s="166" customFormat="1" ht="12.6" customHeight="1">
      <c r="A31" s="155">
        <v>371</v>
      </c>
      <c r="B31" s="156" t="s">
        <v>858</v>
      </c>
      <c r="C31" s="94">
        <f t="shared" si="1"/>
        <v>0</v>
      </c>
      <c r="D31" s="154">
        <f>SUMIFS('Plan rashoda za unos u SAP'!$I$3:$I$501,'Plan rashoda za unos u SAP'!$C$3:$C$501,"=11",'Plan rashoda za unos u SAP'!$M$3:$M$501,"=371")</f>
        <v>0</v>
      </c>
      <c r="E31" s="154">
        <f>SUMIFS('Plan rashoda za unos u SAP'!$I$3:$I$501,'Plan rashoda za unos u SAP'!$C$3:$C$501,"=12",'Plan rashoda za unos u SAP'!$M$3:$M$501,"=371")</f>
        <v>0</v>
      </c>
      <c r="F31" s="154">
        <f>SUMIFS('Plan rashoda za unos u SAP'!$I$3:$I$501,'Plan rashoda za unos u SAP'!$C$3:$C$501,"=31",'Plan rashoda za unos u SAP'!$M$3:$M$501,"=371")</f>
        <v>0</v>
      </c>
      <c r="G31" s="154">
        <f>SUMIFS('Plan rashoda za unos u SAP'!$I$3:$I$501,'Plan rashoda za unos u SAP'!$C$3:$C$501,"=43",'Plan rashoda za unos u SAP'!$M$3:$M$501,"=371")</f>
        <v>0</v>
      </c>
      <c r="H31" s="154">
        <f>SUMIFS('Plan rashoda za unos u SAP'!$I$3:$I$501,'Plan rashoda za unos u SAP'!$C$3:$C$501,"=51",'Plan rashoda za unos u SAP'!$M$3:$M$501,"=371")</f>
        <v>0</v>
      </c>
      <c r="I31" s="154">
        <f>SUMIFS('Plan rashoda za unos u SAP'!$I$3:$I$501,'Plan rashoda za unos u SAP'!$C$3:$C$501,"=52",'Plan rashoda za unos u SAP'!$M$3:$M$501,"=371")</f>
        <v>0</v>
      </c>
      <c r="J31" s="154">
        <f>SUMIFS('Plan rashoda za unos u SAP'!$I$3:$I$501,'Plan rashoda za unos u SAP'!$C$3:$C$501,"=559",'Plan rashoda za unos u SAP'!$M$3:$M$501,"=371")</f>
        <v>0</v>
      </c>
      <c r="K31" s="154">
        <f>SUMIFS('Plan rashoda za unos u SAP'!$I$3:$I$501,'Plan rashoda za unos u SAP'!$C$3:$C$501,"=561",'Plan rashoda za unos u SAP'!$M$3:$M$501,"=371")</f>
        <v>0</v>
      </c>
      <c r="L31" s="154">
        <f>SUMIFS('Plan rashoda za unos u SAP'!$I$3:$I$501,'Plan rashoda za unos u SAP'!$C$3:$C$501,"=563",'Plan rashoda za unos u SAP'!$M$3:$M$501,"=371")</f>
        <v>0</v>
      </c>
      <c r="M31" s="154">
        <f>SUMIFS('Plan rashoda za unos u SAP'!$I$3:$I$501,'Plan rashoda za unos u SAP'!$C$3:$C$501,"=61",'Plan rashoda za unos u SAP'!$M$3:$M$501,"=371")</f>
        <v>0</v>
      </c>
      <c r="N31" s="154">
        <f>SUMIFS('Plan rashoda za unos u SAP'!$I$3:$I$501,'Plan rashoda za unos u SAP'!$C$3:$C$501,"=63",'Plan rashoda za unos u SAP'!$M$3:$M$501,"=371")</f>
        <v>0</v>
      </c>
      <c r="O31" s="154">
        <f>SUMIFS('Plan rashoda za unos u SAP'!$I$3:$I$501,'Plan rashoda za unos u SAP'!$C$3:$C$501,"=71",'Plan rashoda za unos u SAP'!$M$3:$M$501,"=371")</f>
        <v>0</v>
      </c>
      <c r="P31" s="154">
        <f>SUMIFS('Plan rashoda za unos u SAP'!$I$3:$I$501,'Plan rashoda za unos u SAP'!$C$3:$C$501,"=81",'Plan rashoda za unos u SAP'!$M$3:$M$501,"=371")</f>
        <v>0</v>
      </c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</row>
    <row r="32" spans="1:256" s="167" customFormat="1" ht="12.6" customHeight="1">
      <c r="A32" s="155">
        <v>372</v>
      </c>
      <c r="B32" s="161" t="s">
        <v>859</v>
      </c>
      <c r="C32" s="94">
        <f t="shared" si="1"/>
        <v>0</v>
      </c>
      <c r="D32" s="154">
        <f>SUMIFS('Plan rashoda za unos u SAP'!$I$3:$I$501,'Plan rashoda za unos u SAP'!$C$3:$C$501,"=11",'Plan rashoda za unos u SAP'!$M$3:$M$501,"=372")</f>
        <v>0</v>
      </c>
      <c r="E32" s="154">
        <f>SUMIFS('Plan rashoda za unos u SAP'!$I$3:$I$501,'Plan rashoda za unos u SAP'!$C$3:$C$501,"=12",'Plan rashoda za unos u SAP'!$M$3:$M$501,"=372")</f>
        <v>0</v>
      </c>
      <c r="F32" s="154">
        <f>SUMIFS('Plan rashoda za unos u SAP'!$I$3:$I$501,'Plan rashoda za unos u SAP'!$C$3:$C$501,"=31",'Plan rashoda za unos u SAP'!$M$3:$M$501,"=372")</f>
        <v>0</v>
      </c>
      <c r="G32" s="154">
        <f>SUMIFS('Plan rashoda za unos u SAP'!$I$3:$I$501,'Plan rashoda za unos u SAP'!$C$3:$C$501,"=43",'Plan rashoda za unos u SAP'!$M$3:$M$501,"=372")</f>
        <v>0</v>
      </c>
      <c r="H32" s="154">
        <f>SUMIFS('Plan rashoda za unos u SAP'!$I$3:$I$501,'Plan rashoda za unos u SAP'!$C$3:$C$501,"=51",'Plan rashoda za unos u SAP'!$M$3:$M$501,"=372")</f>
        <v>0</v>
      </c>
      <c r="I32" s="154">
        <f>SUMIFS('Plan rashoda za unos u SAP'!$I$3:$I$501,'Plan rashoda za unos u SAP'!$C$3:$C$501,"=52",'Plan rashoda za unos u SAP'!$M$3:$M$501,"=372")</f>
        <v>0</v>
      </c>
      <c r="J32" s="154">
        <f>SUMIFS('Plan rashoda za unos u SAP'!$I$3:$I$501,'Plan rashoda za unos u SAP'!$C$3:$C$501,"=559",'Plan rashoda za unos u SAP'!$M$3:$M$501,"=372")</f>
        <v>0</v>
      </c>
      <c r="K32" s="154">
        <f>SUMIFS('Plan rashoda za unos u SAP'!$I$3:$I$501,'Plan rashoda za unos u SAP'!$C$3:$C$501,"=561",'Plan rashoda za unos u SAP'!$M$3:$M$501,"=372")</f>
        <v>0</v>
      </c>
      <c r="L32" s="154">
        <f>SUMIFS('Plan rashoda za unos u SAP'!$I$3:$I$501,'Plan rashoda za unos u SAP'!$C$3:$C$501,"=563",'Plan rashoda za unos u SAP'!$M$3:$M$501,"=372")</f>
        <v>0</v>
      </c>
      <c r="M32" s="154">
        <f>SUMIFS('Plan rashoda za unos u SAP'!$I$3:$I$501,'Plan rashoda za unos u SAP'!$C$3:$C$501,"=61",'Plan rashoda za unos u SAP'!$M$3:$M$501,"=372")</f>
        <v>0</v>
      </c>
      <c r="N32" s="154">
        <f>SUMIFS('Plan rashoda za unos u SAP'!$I$3:$I$501,'Plan rashoda za unos u SAP'!$C$3:$C$501,"=63",'Plan rashoda za unos u SAP'!$M$3:$M$501,"=372")</f>
        <v>0</v>
      </c>
      <c r="O32" s="154">
        <f>SUMIFS('Plan rashoda za unos u SAP'!$I$3:$I$501,'Plan rashoda za unos u SAP'!$C$3:$C$501,"=71",'Plan rashoda za unos u SAP'!$M$3:$M$501,"=372")</f>
        <v>0</v>
      </c>
      <c r="P32" s="154">
        <f>SUMIFS('Plan rashoda za unos u SAP'!$I$3:$I$501,'Plan rashoda za unos u SAP'!$C$3:$C$501,"=81",'Plan rashoda za unos u SAP'!$M$3:$M$501,"=372")</f>
        <v>0</v>
      </c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3"/>
      <c r="GF32" s="133"/>
      <c r="GG32" s="133"/>
      <c r="GH32" s="133"/>
      <c r="GI32" s="133"/>
      <c r="GJ32" s="133"/>
      <c r="GK32" s="133"/>
      <c r="GL32" s="133"/>
      <c r="GM32" s="133"/>
      <c r="GN32" s="133"/>
      <c r="GO32" s="133"/>
      <c r="GP32" s="133"/>
      <c r="GQ32" s="133"/>
      <c r="GR32" s="133"/>
      <c r="GS32" s="133"/>
      <c r="GT32" s="133"/>
      <c r="GU32" s="133"/>
      <c r="GV32" s="133"/>
      <c r="GW32" s="133"/>
      <c r="GX32" s="133"/>
      <c r="GY32" s="133"/>
      <c r="GZ32" s="133"/>
      <c r="HA32" s="133"/>
      <c r="HB32" s="133"/>
      <c r="HC32" s="133"/>
      <c r="HD32" s="133"/>
      <c r="HE32" s="133"/>
      <c r="HF32" s="133"/>
      <c r="HG32" s="133"/>
      <c r="HH32" s="133"/>
      <c r="HI32" s="133"/>
      <c r="HJ32" s="133"/>
      <c r="HK32" s="133"/>
      <c r="HL32" s="133"/>
      <c r="HM32" s="133"/>
      <c r="HN32" s="133"/>
      <c r="HO32" s="133"/>
      <c r="HP32" s="133"/>
      <c r="HQ32" s="133"/>
      <c r="HR32" s="133"/>
      <c r="HS32" s="133"/>
      <c r="HT32" s="133"/>
      <c r="HU32" s="133"/>
      <c r="HV32" s="133"/>
      <c r="HW32" s="133"/>
      <c r="HX32" s="133"/>
      <c r="HY32" s="133"/>
      <c r="HZ32" s="133"/>
      <c r="IA32" s="133"/>
      <c r="IB32" s="133"/>
      <c r="IC32" s="133"/>
      <c r="ID32" s="133"/>
      <c r="IE32" s="133"/>
      <c r="IF32" s="133"/>
      <c r="IG32" s="133"/>
      <c r="IH32" s="133"/>
      <c r="II32" s="133"/>
      <c r="IJ32" s="133"/>
      <c r="IK32" s="133"/>
      <c r="IL32" s="133"/>
      <c r="IM32" s="133"/>
      <c r="IN32" s="133"/>
      <c r="IO32" s="133"/>
      <c r="IP32" s="133"/>
      <c r="IQ32" s="133"/>
      <c r="IR32" s="133"/>
      <c r="IS32" s="133"/>
      <c r="IT32" s="133"/>
      <c r="IU32" s="133"/>
      <c r="IV32" s="133"/>
    </row>
    <row r="33" spans="1:256" s="166" customFormat="1" ht="12.6" customHeight="1">
      <c r="A33" s="157">
        <v>38</v>
      </c>
      <c r="B33" s="158" t="s">
        <v>860</v>
      </c>
      <c r="C33" s="110">
        <f t="shared" si="1"/>
        <v>0</v>
      </c>
      <c r="D33" s="110">
        <f t="shared" ref="D33:P33" si="9">SUM(D34:D37)</f>
        <v>0</v>
      </c>
      <c r="E33" s="110">
        <f t="shared" si="9"/>
        <v>0</v>
      </c>
      <c r="F33" s="110">
        <f t="shared" si="9"/>
        <v>0</v>
      </c>
      <c r="G33" s="110">
        <f t="shared" si="9"/>
        <v>0</v>
      </c>
      <c r="H33" s="110">
        <f t="shared" si="9"/>
        <v>0</v>
      </c>
      <c r="I33" s="110">
        <f t="shared" si="9"/>
        <v>0</v>
      </c>
      <c r="J33" s="110">
        <f t="shared" si="9"/>
        <v>0</v>
      </c>
      <c r="K33" s="110">
        <f t="shared" si="9"/>
        <v>0</v>
      </c>
      <c r="L33" s="110">
        <f t="shared" si="9"/>
        <v>0</v>
      </c>
      <c r="M33" s="110">
        <f t="shared" si="9"/>
        <v>0</v>
      </c>
      <c r="N33" s="110">
        <f t="shared" si="9"/>
        <v>0</v>
      </c>
      <c r="O33" s="110">
        <f t="shared" si="9"/>
        <v>0</v>
      </c>
      <c r="P33" s="110">
        <f t="shared" si="9"/>
        <v>0</v>
      </c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</row>
    <row r="34" spans="1:256" s="167" customFormat="1" ht="12.6" customHeight="1">
      <c r="A34" s="155">
        <v>381</v>
      </c>
      <c r="B34" s="156" t="s">
        <v>861</v>
      </c>
      <c r="C34" s="94">
        <f t="shared" si="1"/>
        <v>0</v>
      </c>
      <c r="D34" s="154">
        <f>SUMIFS('Plan rashoda za unos u SAP'!$I$3:$I$501,'Plan rashoda za unos u SAP'!$C$3:$C$501,"=11",'Plan rashoda za unos u SAP'!$M$3:$M$501,"=381")</f>
        <v>0</v>
      </c>
      <c r="E34" s="154">
        <f>SUMIFS('Plan rashoda za unos u SAP'!$I$3:$I$501,'Plan rashoda za unos u SAP'!$C$3:$C$501,"=12",'Plan rashoda za unos u SAP'!$M$3:$M$501,"=381")</f>
        <v>0</v>
      </c>
      <c r="F34" s="154">
        <f>SUMIFS('Plan rashoda za unos u SAP'!$I$3:$I$501,'Plan rashoda za unos u SAP'!$C$3:$C$501,"=31",'Plan rashoda za unos u SAP'!$M$3:$M$501,"=381")</f>
        <v>0</v>
      </c>
      <c r="G34" s="154">
        <f>SUMIFS('Plan rashoda za unos u SAP'!$I$3:$I$501,'Plan rashoda za unos u SAP'!$C$3:$C$501,"=43",'Plan rashoda za unos u SAP'!$M$3:$M$501,"=381")</f>
        <v>0</v>
      </c>
      <c r="H34" s="154">
        <f>SUMIFS('Plan rashoda za unos u SAP'!$I$3:$I$501,'Plan rashoda za unos u SAP'!$C$3:$C$501,"=51",'Plan rashoda za unos u SAP'!$M$3:$M$501,"=381")</f>
        <v>0</v>
      </c>
      <c r="I34" s="154">
        <f>SUMIFS('Plan rashoda za unos u SAP'!$I$3:$I$501,'Plan rashoda za unos u SAP'!$C$3:$C$501,"=52",'Plan rashoda za unos u SAP'!$M$3:$M$501,"=381")</f>
        <v>0</v>
      </c>
      <c r="J34" s="154">
        <f>SUMIFS('Plan rashoda za unos u SAP'!$I$3:$I$501,'Plan rashoda za unos u SAP'!$C$3:$C$501,"=559",'Plan rashoda za unos u SAP'!$M$3:$M$501,"=381")</f>
        <v>0</v>
      </c>
      <c r="K34" s="154">
        <f>SUMIFS('Plan rashoda za unos u SAP'!$I$3:$I$501,'Plan rashoda za unos u SAP'!$C$3:$C$501,"=561",'Plan rashoda za unos u SAP'!$M$3:$M$501,"=381")</f>
        <v>0</v>
      </c>
      <c r="L34" s="154">
        <f>SUMIFS('Plan rashoda za unos u SAP'!$I$3:$I$501,'Plan rashoda za unos u SAP'!$C$3:$C$501,"=563",'Plan rashoda za unos u SAP'!$M$3:$M$501,"=381")</f>
        <v>0</v>
      </c>
      <c r="M34" s="154">
        <f>SUMIFS('Plan rashoda za unos u SAP'!$I$3:$I$501,'Plan rashoda za unos u SAP'!$C$3:$C$501,"=61",'Plan rashoda za unos u SAP'!$M$3:$M$501,"=381")</f>
        <v>0</v>
      </c>
      <c r="N34" s="154">
        <f>SUMIFS('Plan rashoda za unos u SAP'!$I$3:$I$501,'Plan rashoda za unos u SAP'!$C$3:$C$501,"=63",'Plan rashoda za unos u SAP'!$M$3:$M$501,"=381")</f>
        <v>0</v>
      </c>
      <c r="O34" s="154">
        <f>SUMIFS('Plan rashoda za unos u SAP'!$I$3:$I$501,'Plan rashoda za unos u SAP'!$C$3:$C$501,"=71",'Plan rashoda za unos u SAP'!$M$3:$M$501,"=381")</f>
        <v>0</v>
      </c>
      <c r="P34" s="154">
        <f>SUMIFS('Plan rashoda za unos u SAP'!$I$3:$I$501,'Plan rashoda za unos u SAP'!$C$3:$C$501,"=81",'Plan rashoda za unos u SAP'!$M$3:$M$501,"=381")</f>
        <v>0</v>
      </c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3"/>
      <c r="GF34" s="133"/>
      <c r="GG34" s="133"/>
      <c r="GH34" s="133"/>
      <c r="GI34" s="133"/>
      <c r="GJ34" s="133"/>
      <c r="GK34" s="133"/>
      <c r="GL34" s="133"/>
      <c r="GM34" s="133"/>
      <c r="GN34" s="133"/>
      <c r="GO34" s="133"/>
      <c r="GP34" s="133"/>
      <c r="GQ34" s="133"/>
      <c r="GR34" s="133"/>
      <c r="GS34" s="133"/>
      <c r="GT34" s="133"/>
      <c r="GU34" s="133"/>
      <c r="GV34" s="133"/>
      <c r="GW34" s="133"/>
      <c r="GX34" s="133"/>
      <c r="GY34" s="133"/>
      <c r="GZ34" s="133"/>
      <c r="HA34" s="133"/>
      <c r="HB34" s="133"/>
      <c r="HC34" s="133"/>
      <c r="HD34" s="133"/>
      <c r="HE34" s="133"/>
      <c r="HF34" s="133"/>
      <c r="HG34" s="133"/>
      <c r="HH34" s="133"/>
      <c r="HI34" s="133"/>
      <c r="HJ34" s="133"/>
      <c r="HK34" s="133"/>
      <c r="HL34" s="133"/>
      <c r="HM34" s="133"/>
      <c r="HN34" s="133"/>
      <c r="HO34" s="133"/>
      <c r="HP34" s="133"/>
      <c r="HQ34" s="133"/>
      <c r="HR34" s="133"/>
      <c r="HS34" s="133"/>
      <c r="HT34" s="133"/>
      <c r="HU34" s="133"/>
      <c r="HV34" s="133"/>
      <c r="HW34" s="133"/>
      <c r="HX34" s="133"/>
      <c r="HY34" s="133"/>
      <c r="HZ34" s="133"/>
      <c r="IA34" s="133"/>
      <c r="IB34" s="133"/>
      <c r="IC34" s="133"/>
      <c r="ID34" s="133"/>
      <c r="IE34" s="133"/>
      <c r="IF34" s="133"/>
      <c r="IG34" s="133"/>
      <c r="IH34" s="133"/>
      <c r="II34" s="133"/>
      <c r="IJ34" s="133"/>
      <c r="IK34" s="133"/>
      <c r="IL34" s="133"/>
      <c r="IM34" s="133"/>
      <c r="IN34" s="133"/>
      <c r="IO34" s="133"/>
      <c r="IP34" s="133"/>
      <c r="IQ34" s="133"/>
      <c r="IR34" s="133"/>
      <c r="IS34" s="133"/>
      <c r="IT34" s="133"/>
      <c r="IU34" s="133"/>
      <c r="IV34" s="133"/>
    </row>
    <row r="35" spans="1:256" s="167" customFormat="1" ht="12.6" customHeight="1">
      <c r="A35" s="155">
        <v>382</v>
      </c>
      <c r="B35" s="156" t="s">
        <v>862</v>
      </c>
      <c r="C35" s="94">
        <f t="shared" si="1"/>
        <v>0</v>
      </c>
      <c r="D35" s="154">
        <f>SUMIFS('Plan rashoda za unos u SAP'!$I$3:$I$501,'Plan rashoda za unos u SAP'!$C$3:$C$501,"=11",'Plan rashoda za unos u SAP'!$M$3:$M$501,"=382")</f>
        <v>0</v>
      </c>
      <c r="E35" s="154">
        <f>SUMIFS('Plan rashoda za unos u SAP'!$I$3:$I$501,'Plan rashoda za unos u SAP'!$C$3:$C$501,"=12",'Plan rashoda za unos u SAP'!$M$3:$M$501,"=382")</f>
        <v>0</v>
      </c>
      <c r="F35" s="154">
        <f>SUMIFS('Plan rashoda za unos u SAP'!$I$3:$I$501,'Plan rashoda za unos u SAP'!$C$3:$C$501,"=31",'Plan rashoda za unos u SAP'!$M$3:$M$501,"=382")</f>
        <v>0</v>
      </c>
      <c r="G35" s="154">
        <f>SUMIFS('Plan rashoda za unos u SAP'!$I$3:$I$501,'Plan rashoda za unos u SAP'!$C$3:$C$501,"=43",'Plan rashoda za unos u SAP'!$M$3:$M$501,"=382")</f>
        <v>0</v>
      </c>
      <c r="H35" s="154">
        <f>SUMIFS('Plan rashoda za unos u SAP'!$I$3:$I$501,'Plan rashoda za unos u SAP'!$C$3:$C$501,"=51",'Plan rashoda za unos u SAP'!$M$3:$M$501,"=382")</f>
        <v>0</v>
      </c>
      <c r="I35" s="154">
        <f>SUMIFS('Plan rashoda za unos u SAP'!$I$3:$I$501,'Plan rashoda za unos u SAP'!$C$3:$C$501,"=52",'Plan rashoda za unos u SAP'!$M$3:$M$501,"=382")</f>
        <v>0</v>
      </c>
      <c r="J35" s="154">
        <f>SUMIFS('Plan rashoda za unos u SAP'!$I$3:$I$501,'Plan rashoda za unos u SAP'!$C$3:$C$501,"=559",'Plan rashoda za unos u SAP'!$M$3:$M$501,"=382")</f>
        <v>0</v>
      </c>
      <c r="K35" s="154">
        <f>SUMIFS('Plan rashoda za unos u SAP'!$I$3:$I$501,'Plan rashoda za unos u SAP'!$C$3:$C$501,"=561",'Plan rashoda za unos u SAP'!$M$3:$M$501,"=382")</f>
        <v>0</v>
      </c>
      <c r="L35" s="154">
        <f>SUMIFS('Plan rashoda za unos u SAP'!$I$3:$I$501,'Plan rashoda za unos u SAP'!$C$3:$C$501,"=563",'Plan rashoda za unos u SAP'!$M$3:$M$501,"=382")</f>
        <v>0</v>
      </c>
      <c r="M35" s="154">
        <f>SUMIFS('Plan rashoda za unos u SAP'!$I$3:$I$501,'Plan rashoda za unos u SAP'!$C$3:$C$501,"=61",'Plan rashoda za unos u SAP'!$M$3:$M$501,"=382")</f>
        <v>0</v>
      </c>
      <c r="N35" s="154">
        <f>SUMIFS('Plan rashoda za unos u SAP'!$I$3:$I$501,'Plan rashoda za unos u SAP'!$C$3:$C$501,"=63",'Plan rashoda za unos u SAP'!$M$3:$M$501,"=382")</f>
        <v>0</v>
      </c>
      <c r="O35" s="154">
        <f>SUMIFS('Plan rashoda za unos u SAP'!$I$3:$I$501,'Plan rashoda za unos u SAP'!$C$3:$C$501,"=71",'Plan rashoda za unos u SAP'!$M$3:$M$501,"=382")</f>
        <v>0</v>
      </c>
      <c r="P35" s="154">
        <f>SUMIFS('Plan rashoda za unos u SAP'!$I$3:$I$501,'Plan rashoda za unos u SAP'!$C$3:$C$501,"=81",'Plan rashoda za unos u SAP'!$M$3:$M$501,"=382")</f>
        <v>0</v>
      </c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2"/>
      <c r="CM35" s="132"/>
      <c r="CN35" s="132"/>
      <c r="CO35" s="132"/>
      <c r="CP35" s="132"/>
      <c r="CQ35" s="132"/>
      <c r="CR35" s="132"/>
      <c r="CS35" s="132"/>
      <c r="CT35" s="132"/>
      <c r="CU35" s="132"/>
      <c r="CV35" s="132"/>
      <c r="CW35" s="132"/>
      <c r="CX35" s="132"/>
      <c r="CY35" s="132"/>
      <c r="CZ35" s="132"/>
      <c r="DA35" s="132"/>
      <c r="DB35" s="132"/>
      <c r="DC35" s="132"/>
      <c r="DD35" s="132"/>
      <c r="DE35" s="132"/>
      <c r="DF35" s="132"/>
      <c r="DG35" s="132"/>
      <c r="DH35" s="132"/>
      <c r="DI35" s="132"/>
      <c r="DJ35" s="132"/>
      <c r="DK35" s="132"/>
      <c r="DL35" s="132"/>
      <c r="DM35" s="132"/>
      <c r="DN35" s="132"/>
      <c r="DO35" s="132"/>
      <c r="DP35" s="132"/>
      <c r="DQ35" s="132"/>
      <c r="DR35" s="132"/>
      <c r="DS35" s="132"/>
      <c r="DT35" s="132"/>
      <c r="DU35" s="132"/>
      <c r="DV35" s="132"/>
      <c r="DW35" s="132"/>
      <c r="DX35" s="132"/>
      <c r="DY35" s="132"/>
      <c r="DZ35" s="132"/>
      <c r="EA35" s="132"/>
      <c r="EB35" s="132"/>
      <c r="EC35" s="132"/>
      <c r="ED35" s="132"/>
      <c r="EE35" s="132"/>
      <c r="EF35" s="132"/>
      <c r="EG35" s="132"/>
      <c r="EH35" s="132"/>
      <c r="EI35" s="132"/>
      <c r="EJ35" s="132"/>
      <c r="EK35" s="132"/>
      <c r="EL35" s="132"/>
      <c r="EM35" s="132"/>
      <c r="EN35" s="132"/>
      <c r="EO35" s="132"/>
      <c r="EP35" s="132"/>
      <c r="EQ35" s="132"/>
      <c r="ER35" s="132"/>
      <c r="ES35" s="132"/>
      <c r="ET35" s="132"/>
      <c r="EU35" s="132"/>
      <c r="EV35" s="132"/>
      <c r="EW35" s="132"/>
      <c r="EX35" s="132"/>
      <c r="EY35" s="132"/>
      <c r="EZ35" s="132"/>
      <c r="FA35" s="132"/>
      <c r="FB35" s="132"/>
      <c r="FC35" s="132"/>
      <c r="FD35" s="132"/>
      <c r="FE35" s="132"/>
      <c r="FF35" s="132"/>
      <c r="FG35" s="132"/>
      <c r="FH35" s="132"/>
      <c r="FI35" s="132"/>
      <c r="FJ35" s="132"/>
      <c r="FK35" s="132"/>
      <c r="FL35" s="132"/>
      <c r="FM35" s="132"/>
      <c r="FN35" s="132"/>
      <c r="FO35" s="132"/>
      <c r="FP35" s="132"/>
      <c r="FQ35" s="132"/>
      <c r="FR35" s="132"/>
      <c r="FS35" s="132"/>
      <c r="FT35" s="132"/>
      <c r="FU35" s="132"/>
      <c r="FV35" s="132"/>
      <c r="FW35" s="132"/>
      <c r="FX35" s="132"/>
      <c r="FY35" s="132"/>
      <c r="FZ35" s="132"/>
      <c r="GA35" s="132"/>
      <c r="GB35" s="132"/>
      <c r="GC35" s="132"/>
      <c r="GD35" s="132"/>
      <c r="GE35" s="133"/>
      <c r="GF35" s="133"/>
      <c r="GG35" s="133"/>
      <c r="GH35" s="133"/>
      <c r="GI35" s="133"/>
      <c r="GJ35" s="133"/>
      <c r="GK35" s="133"/>
      <c r="GL35" s="133"/>
      <c r="GM35" s="133"/>
      <c r="GN35" s="133"/>
      <c r="GO35" s="133"/>
      <c r="GP35" s="133"/>
      <c r="GQ35" s="133"/>
      <c r="GR35" s="133"/>
      <c r="GS35" s="133"/>
      <c r="GT35" s="133"/>
      <c r="GU35" s="133"/>
      <c r="GV35" s="133"/>
      <c r="GW35" s="133"/>
      <c r="GX35" s="133"/>
      <c r="GY35" s="133"/>
      <c r="GZ35" s="133"/>
      <c r="HA35" s="133"/>
      <c r="HB35" s="133"/>
      <c r="HC35" s="133"/>
      <c r="HD35" s="133"/>
      <c r="HE35" s="133"/>
      <c r="HF35" s="133"/>
      <c r="HG35" s="133"/>
      <c r="HH35" s="133"/>
      <c r="HI35" s="133"/>
      <c r="HJ35" s="133"/>
      <c r="HK35" s="133"/>
      <c r="HL35" s="133"/>
      <c r="HM35" s="133"/>
      <c r="HN35" s="133"/>
      <c r="HO35" s="133"/>
      <c r="HP35" s="133"/>
      <c r="HQ35" s="133"/>
      <c r="HR35" s="133"/>
      <c r="HS35" s="133"/>
      <c r="HT35" s="133"/>
      <c r="HU35" s="133"/>
      <c r="HV35" s="133"/>
      <c r="HW35" s="133"/>
      <c r="HX35" s="133"/>
      <c r="HY35" s="133"/>
      <c r="HZ35" s="133"/>
      <c r="IA35" s="133"/>
      <c r="IB35" s="133"/>
      <c r="IC35" s="133"/>
      <c r="ID35" s="133"/>
      <c r="IE35" s="133"/>
      <c r="IF35" s="133"/>
      <c r="IG35" s="133"/>
      <c r="IH35" s="133"/>
      <c r="II35" s="133"/>
      <c r="IJ35" s="133"/>
      <c r="IK35" s="133"/>
      <c r="IL35" s="133"/>
      <c r="IM35" s="133"/>
      <c r="IN35" s="133"/>
      <c r="IO35" s="133"/>
      <c r="IP35" s="133"/>
      <c r="IQ35" s="133"/>
      <c r="IR35" s="133"/>
      <c r="IS35" s="133"/>
      <c r="IT35" s="133"/>
      <c r="IU35" s="133"/>
      <c r="IV35" s="133"/>
    </row>
    <row r="36" spans="1:256" s="167" customFormat="1" ht="12.6" customHeight="1">
      <c r="A36" s="155">
        <v>383</v>
      </c>
      <c r="B36" s="156" t="s">
        <v>863</v>
      </c>
      <c r="C36" s="94">
        <f t="shared" ref="C36:C67" si="10">ROUND(SUM(D36:P36),0)</f>
        <v>0</v>
      </c>
      <c r="D36" s="154">
        <f>SUMIFS('Plan rashoda za unos u SAP'!$I$3:$I$501,'Plan rashoda za unos u SAP'!$C$3:$C$501,"=11",'Plan rashoda za unos u SAP'!$M$3:$M$501,"=383")</f>
        <v>0</v>
      </c>
      <c r="E36" s="154">
        <f>SUMIFS('Plan rashoda za unos u SAP'!$I$3:$I$501,'Plan rashoda za unos u SAP'!$C$3:$C$501,"=12",'Plan rashoda za unos u SAP'!$M$3:$M$501,"=383")</f>
        <v>0</v>
      </c>
      <c r="F36" s="154">
        <f>SUMIFS('Plan rashoda za unos u SAP'!$I$3:$I$501,'Plan rashoda za unos u SAP'!$C$3:$C$501,"=31",'Plan rashoda za unos u SAP'!$M$3:$M$501,"=383")</f>
        <v>0</v>
      </c>
      <c r="G36" s="154">
        <f>SUMIFS('Plan rashoda za unos u SAP'!$I$3:$I$501,'Plan rashoda za unos u SAP'!$C$3:$C$501,"=43",'Plan rashoda za unos u SAP'!$M$3:$M$501,"=383")</f>
        <v>0</v>
      </c>
      <c r="H36" s="154">
        <f>SUMIFS('Plan rashoda za unos u SAP'!$I$3:$I$501,'Plan rashoda za unos u SAP'!$C$3:$C$501,"=51",'Plan rashoda za unos u SAP'!$M$3:$M$501,"=383")</f>
        <v>0</v>
      </c>
      <c r="I36" s="154">
        <f>SUMIFS('Plan rashoda za unos u SAP'!$I$3:$I$501,'Plan rashoda za unos u SAP'!$C$3:$C$501,"=52",'Plan rashoda za unos u SAP'!$M$3:$M$501,"=383")</f>
        <v>0</v>
      </c>
      <c r="J36" s="154">
        <f>SUMIFS('Plan rashoda za unos u SAP'!$I$3:$I$501,'Plan rashoda za unos u SAP'!$C$3:$C$501,"=559",'Plan rashoda za unos u SAP'!$M$3:$M$501,"=383")</f>
        <v>0</v>
      </c>
      <c r="K36" s="154">
        <f>SUMIFS('Plan rashoda za unos u SAP'!$I$3:$I$501,'Plan rashoda za unos u SAP'!$C$3:$C$501,"=561",'Plan rashoda za unos u SAP'!$M$3:$M$501,"=383")</f>
        <v>0</v>
      </c>
      <c r="L36" s="154">
        <f>SUMIFS('Plan rashoda za unos u SAP'!$I$3:$I$501,'Plan rashoda za unos u SAP'!$C$3:$C$501,"=563",'Plan rashoda za unos u SAP'!$M$3:$M$501,"=383")</f>
        <v>0</v>
      </c>
      <c r="M36" s="154">
        <f>SUMIFS('Plan rashoda za unos u SAP'!$I$3:$I$501,'Plan rashoda za unos u SAP'!$C$3:$C$501,"=61",'Plan rashoda za unos u SAP'!$M$3:$M$501,"=383")</f>
        <v>0</v>
      </c>
      <c r="N36" s="154">
        <f>SUMIFS('Plan rashoda za unos u SAP'!$I$3:$I$501,'Plan rashoda za unos u SAP'!$C$3:$C$501,"=63",'Plan rashoda za unos u SAP'!$M$3:$M$501,"=383")</f>
        <v>0</v>
      </c>
      <c r="O36" s="154">
        <f>SUMIFS('Plan rashoda za unos u SAP'!$I$3:$I$501,'Plan rashoda za unos u SAP'!$C$3:$C$501,"=71",'Plan rashoda za unos u SAP'!$M$3:$M$501,"=383")</f>
        <v>0</v>
      </c>
      <c r="P36" s="154">
        <f>SUMIFS('Plan rashoda za unos u SAP'!$I$3:$I$501,'Plan rashoda za unos u SAP'!$C$3:$C$501,"=81",'Plan rashoda za unos u SAP'!$M$3:$M$501,"=383")</f>
        <v>0</v>
      </c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2"/>
      <c r="CK36" s="132"/>
      <c r="CL36" s="132"/>
      <c r="CM36" s="132"/>
      <c r="CN36" s="132"/>
      <c r="CO36" s="132"/>
      <c r="CP36" s="132"/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32"/>
      <c r="DB36" s="132"/>
      <c r="DC36" s="132"/>
      <c r="DD36" s="132"/>
      <c r="DE36" s="132"/>
      <c r="DF36" s="132"/>
      <c r="DG36" s="132"/>
      <c r="DH36" s="132"/>
      <c r="DI36" s="132"/>
      <c r="DJ36" s="132"/>
      <c r="DK36" s="132"/>
      <c r="DL36" s="132"/>
      <c r="DM36" s="132"/>
      <c r="DN36" s="132"/>
      <c r="DO36" s="132"/>
      <c r="DP36" s="132"/>
      <c r="DQ36" s="132"/>
      <c r="DR36" s="132"/>
      <c r="DS36" s="132"/>
      <c r="DT36" s="132"/>
      <c r="DU36" s="132"/>
      <c r="DV36" s="132"/>
      <c r="DW36" s="132"/>
      <c r="DX36" s="132"/>
      <c r="DY36" s="132"/>
      <c r="DZ36" s="132"/>
      <c r="EA36" s="132"/>
      <c r="EB36" s="132"/>
      <c r="EC36" s="132"/>
      <c r="ED36" s="132"/>
      <c r="EE36" s="132"/>
      <c r="EF36" s="132"/>
      <c r="EG36" s="132"/>
      <c r="EH36" s="132"/>
      <c r="EI36" s="132"/>
      <c r="EJ36" s="132"/>
      <c r="EK36" s="132"/>
      <c r="EL36" s="132"/>
      <c r="EM36" s="132"/>
      <c r="EN36" s="132"/>
      <c r="EO36" s="132"/>
      <c r="EP36" s="132"/>
      <c r="EQ36" s="132"/>
      <c r="ER36" s="132"/>
      <c r="ES36" s="132"/>
      <c r="ET36" s="132"/>
      <c r="EU36" s="132"/>
      <c r="EV36" s="132"/>
      <c r="EW36" s="132"/>
      <c r="EX36" s="132"/>
      <c r="EY36" s="132"/>
      <c r="EZ36" s="132"/>
      <c r="FA36" s="132"/>
      <c r="FB36" s="132"/>
      <c r="FC36" s="132"/>
      <c r="FD36" s="132"/>
      <c r="FE36" s="132"/>
      <c r="FF36" s="132"/>
      <c r="FG36" s="132"/>
      <c r="FH36" s="132"/>
      <c r="FI36" s="132"/>
      <c r="FJ36" s="132"/>
      <c r="FK36" s="132"/>
      <c r="FL36" s="132"/>
      <c r="FM36" s="132"/>
      <c r="FN36" s="132"/>
      <c r="FO36" s="132"/>
      <c r="FP36" s="132"/>
      <c r="FQ36" s="132"/>
      <c r="FR36" s="132"/>
      <c r="FS36" s="132"/>
      <c r="FT36" s="132"/>
      <c r="FU36" s="132"/>
      <c r="FV36" s="132"/>
      <c r="FW36" s="132"/>
      <c r="FX36" s="132"/>
      <c r="FY36" s="132"/>
      <c r="FZ36" s="132"/>
      <c r="GA36" s="132"/>
      <c r="GB36" s="132"/>
      <c r="GC36" s="132"/>
      <c r="GD36" s="132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3"/>
      <c r="HF36" s="133"/>
      <c r="HG36" s="133"/>
      <c r="HH36" s="133"/>
      <c r="HI36" s="133"/>
      <c r="HJ36" s="133"/>
      <c r="HK36" s="133"/>
      <c r="HL36" s="133"/>
      <c r="HM36" s="133"/>
      <c r="HN36" s="133"/>
      <c r="HO36" s="133"/>
      <c r="HP36" s="133"/>
      <c r="HQ36" s="133"/>
      <c r="HR36" s="133"/>
      <c r="HS36" s="133"/>
      <c r="HT36" s="133"/>
      <c r="HU36" s="133"/>
      <c r="HV36" s="133"/>
      <c r="HW36" s="133"/>
      <c r="HX36" s="133"/>
      <c r="HY36" s="133"/>
      <c r="HZ36" s="133"/>
      <c r="IA36" s="133"/>
      <c r="IB36" s="133"/>
      <c r="IC36" s="133"/>
      <c r="ID36" s="133"/>
      <c r="IE36" s="133"/>
      <c r="IF36" s="133"/>
      <c r="IG36" s="133"/>
      <c r="IH36" s="133"/>
      <c r="II36" s="133"/>
      <c r="IJ36" s="133"/>
      <c r="IK36" s="133"/>
      <c r="IL36" s="133"/>
      <c r="IM36" s="133"/>
      <c r="IN36" s="133"/>
      <c r="IO36" s="133"/>
      <c r="IP36" s="133"/>
      <c r="IQ36" s="133"/>
      <c r="IR36" s="133"/>
      <c r="IS36" s="133"/>
      <c r="IT36" s="133"/>
      <c r="IU36" s="133"/>
      <c r="IV36" s="133"/>
    </row>
    <row r="37" spans="1:256" s="167" customFormat="1" ht="12.6" customHeight="1">
      <c r="A37" s="155">
        <v>386</v>
      </c>
      <c r="B37" s="161" t="s">
        <v>864</v>
      </c>
      <c r="C37" s="94">
        <f t="shared" si="10"/>
        <v>0</v>
      </c>
      <c r="D37" s="154">
        <f>SUMIFS('Plan rashoda za unos u SAP'!$I$3:$I$501,'Plan rashoda za unos u SAP'!$C$3:$C$501,"=11",'Plan rashoda za unos u SAP'!$M$3:$M$501,"=386")</f>
        <v>0</v>
      </c>
      <c r="E37" s="154">
        <f>SUMIFS('Plan rashoda za unos u SAP'!$I$3:$I$501,'Plan rashoda za unos u SAP'!$C$3:$C$501,"=12",'Plan rashoda za unos u SAP'!$M$3:$M$501,"=386")</f>
        <v>0</v>
      </c>
      <c r="F37" s="154">
        <f>SUMIFS('Plan rashoda za unos u SAP'!$I$3:$I$501,'Plan rashoda za unos u SAP'!$C$3:$C$501,"=31",'Plan rashoda za unos u SAP'!$M$3:$M$501,"=386")</f>
        <v>0</v>
      </c>
      <c r="G37" s="154">
        <f>SUMIFS('Plan rashoda za unos u SAP'!$I$3:$I$501,'Plan rashoda za unos u SAP'!$C$3:$C$501,"=43",'Plan rashoda za unos u SAP'!$M$3:$M$501,"=386")</f>
        <v>0</v>
      </c>
      <c r="H37" s="154">
        <f>SUMIFS('Plan rashoda za unos u SAP'!$I$3:$I$501,'Plan rashoda za unos u SAP'!$C$3:$C$501,"=51",'Plan rashoda za unos u SAP'!$M$3:$M$501,"=386")</f>
        <v>0</v>
      </c>
      <c r="I37" s="154">
        <f>SUMIFS('Plan rashoda za unos u SAP'!$I$3:$I$501,'Plan rashoda za unos u SAP'!$C$3:$C$501,"=52",'Plan rashoda za unos u SAP'!$M$3:$M$501,"=386")</f>
        <v>0</v>
      </c>
      <c r="J37" s="154">
        <f>SUMIFS('Plan rashoda za unos u SAP'!$I$3:$I$501,'Plan rashoda za unos u SAP'!$C$3:$C$501,"=559",'Plan rashoda za unos u SAP'!$M$3:$M$501,"=386")</f>
        <v>0</v>
      </c>
      <c r="K37" s="154">
        <f>SUMIFS('Plan rashoda za unos u SAP'!$I$3:$I$501,'Plan rashoda za unos u SAP'!$C$3:$C$501,"=561",'Plan rashoda za unos u SAP'!$M$3:$M$501,"=386")</f>
        <v>0</v>
      </c>
      <c r="L37" s="154">
        <f>SUMIFS('Plan rashoda za unos u SAP'!$I$3:$I$501,'Plan rashoda za unos u SAP'!$C$3:$C$501,"=563",'Plan rashoda za unos u SAP'!$M$3:$M$501,"=386")</f>
        <v>0</v>
      </c>
      <c r="M37" s="154">
        <f>SUMIFS('Plan rashoda za unos u SAP'!$I$3:$I$501,'Plan rashoda za unos u SAP'!$C$3:$C$501,"=61",'Plan rashoda za unos u SAP'!$M$3:$M$501,"=386")</f>
        <v>0</v>
      </c>
      <c r="N37" s="154">
        <f>SUMIFS('Plan rashoda za unos u SAP'!$I$3:$I$501,'Plan rashoda za unos u SAP'!$C$3:$C$501,"=63",'Plan rashoda za unos u SAP'!$M$3:$M$501,"=386")</f>
        <v>0</v>
      </c>
      <c r="O37" s="154">
        <f>SUMIFS('Plan rashoda za unos u SAP'!$I$3:$I$501,'Plan rashoda za unos u SAP'!$C$3:$C$501,"=71",'Plan rashoda za unos u SAP'!$M$3:$M$501,"=386")</f>
        <v>0</v>
      </c>
      <c r="P37" s="154">
        <f>SUMIFS('Plan rashoda za unos u SAP'!$I$3:$I$501,'Plan rashoda za unos u SAP'!$C$3:$C$501,"=81",'Plan rashoda za unos u SAP'!$M$3:$M$501,"=386")</f>
        <v>0</v>
      </c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3"/>
      <c r="GF37" s="133"/>
      <c r="GG37" s="133"/>
      <c r="GH37" s="133"/>
      <c r="GI37" s="133"/>
      <c r="GJ37" s="133"/>
      <c r="GK37" s="133"/>
      <c r="GL37" s="133"/>
      <c r="GM37" s="133"/>
      <c r="GN37" s="133"/>
      <c r="GO37" s="133"/>
      <c r="GP37" s="133"/>
      <c r="GQ37" s="133"/>
      <c r="GR37" s="133"/>
      <c r="GS37" s="133"/>
      <c r="GT37" s="133"/>
      <c r="GU37" s="133"/>
      <c r="GV37" s="133"/>
      <c r="GW37" s="133"/>
      <c r="GX37" s="133"/>
      <c r="GY37" s="133"/>
      <c r="GZ37" s="133"/>
      <c r="HA37" s="133"/>
      <c r="HB37" s="133"/>
      <c r="HC37" s="133"/>
      <c r="HD37" s="133"/>
      <c r="HE37" s="133"/>
      <c r="HF37" s="133"/>
      <c r="HG37" s="133"/>
      <c r="HH37" s="133"/>
      <c r="HI37" s="133"/>
      <c r="HJ37" s="133"/>
      <c r="HK37" s="133"/>
      <c r="HL37" s="133"/>
      <c r="HM37" s="133"/>
      <c r="HN37" s="133"/>
      <c r="HO37" s="133"/>
      <c r="HP37" s="133"/>
      <c r="HQ37" s="133"/>
      <c r="HR37" s="133"/>
      <c r="HS37" s="133"/>
      <c r="HT37" s="133"/>
      <c r="HU37" s="133"/>
      <c r="HV37" s="133"/>
      <c r="HW37" s="133"/>
      <c r="HX37" s="133"/>
      <c r="HY37" s="133"/>
      <c r="HZ37" s="133"/>
      <c r="IA37" s="133"/>
      <c r="IB37" s="133"/>
      <c r="IC37" s="133"/>
      <c r="ID37" s="133"/>
      <c r="IE37" s="133"/>
      <c r="IF37" s="133"/>
      <c r="IG37" s="133"/>
      <c r="IH37" s="133"/>
      <c r="II37" s="133"/>
      <c r="IJ37" s="133"/>
      <c r="IK37" s="133"/>
      <c r="IL37" s="133"/>
      <c r="IM37" s="133"/>
      <c r="IN37" s="133"/>
      <c r="IO37" s="133"/>
      <c r="IP37" s="133"/>
      <c r="IQ37" s="133"/>
      <c r="IR37" s="133"/>
      <c r="IS37" s="133"/>
      <c r="IT37" s="133"/>
      <c r="IU37" s="133"/>
      <c r="IV37" s="133"/>
    </row>
    <row r="38" spans="1:256" s="167" customFormat="1" ht="12.6" customHeight="1">
      <c r="A38" s="168">
        <v>4</v>
      </c>
      <c r="B38" s="169" t="s">
        <v>865</v>
      </c>
      <c r="C38" s="170">
        <f t="shared" si="10"/>
        <v>0</v>
      </c>
      <c r="D38" s="170">
        <f t="shared" ref="D38:P38" si="11">D42+D49+D51+D53+D39</f>
        <v>0</v>
      </c>
      <c r="E38" s="170">
        <f t="shared" si="11"/>
        <v>0</v>
      </c>
      <c r="F38" s="170">
        <f t="shared" si="11"/>
        <v>0</v>
      </c>
      <c r="G38" s="170">
        <f t="shared" si="11"/>
        <v>0</v>
      </c>
      <c r="H38" s="170">
        <f t="shared" si="11"/>
        <v>0</v>
      </c>
      <c r="I38" s="170">
        <f t="shared" si="11"/>
        <v>0</v>
      </c>
      <c r="J38" s="170">
        <f t="shared" si="11"/>
        <v>0</v>
      </c>
      <c r="K38" s="170">
        <f t="shared" si="11"/>
        <v>0</v>
      </c>
      <c r="L38" s="170">
        <f t="shared" si="11"/>
        <v>0</v>
      </c>
      <c r="M38" s="170">
        <f t="shared" si="11"/>
        <v>0</v>
      </c>
      <c r="N38" s="170">
        <f t="shared" si="11"/>
        <v>0</v>
      </c>
      <c r="O38" s="170">
        <f t="shared" si="11"/>
        <v>0</v>
      </c>
      <c r="P38" s="170">
        <f t="shared" si="11"/>
        <v>0</v>
      </c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  <c r="HW38" s="133"/>
      <c r="HX38" s="133"/>
      <c r="HY38" s="133"/>
      <c r="HZ38" s="133"/>
      <c r="IA38" s="133"/>
      <c r="IB38" s="133"/>
      <c r="IC38" s="133"/>
      <c r="ID38" s="133"/>
      <c r="IE38" s="133"/>
      <c r="IF38" s="133"/>
      <c r="IG38" s="133"/>
      <c r="IH38" s="133"/>
      <c r="II38" s="133"/>
      <c r="IJ38" s="133"/>
      <c r="IK38" s="133"/>
      <c r="IL38" s="133"/>
      <c r="IM38" s="133"/>
      <c r="IN38" s="133"/>
      <c r="IO38" s="133"/>
      <c r="IP38" s="133"/>
      <c r="IQ38" s="133"/>
      <c r="IR38" s="133"/>
      <c r="IS38" s="133"/>
      <c r="IT38" s="133"/>
      <c r="IU38" s="133"/>
      <c r="IV38" s="133"/>
    </row>
    <row r="39" spans="1:256" s="151" customFormat="1" ht="12.6" customHeight="1">
      <c r="A39" s="145">
        <v>41</v>
      </c>
      <c r="B39" s="146" t="s">
        <v>866</v>
      </c>
      <c r="C39" s="110">
        <f t="shared" si="10"/>
        <v>0</v>
      </c>
      <c r="D39" s="148">
        <f t="shared" ref="D39:P39" si="12">SUM(D40:D41)</f>
        <v>0</v>
      </c>
      <c r="E39" s="148">
        <f t="shared" si="12"/>
        <v>0</v>
      </c>
      <c r="F39" s="148">
        <f t="shared" si="12"/>
        <v>0</v>
      </c>
      <c r="G39" s="148">
        <f t="shared" si="12"/>
        <v>0</v>
      </c>
      <c r="H39" s="148">
        <f t="shared" si="12"/>
        <v>0</v>
      </c>
      <c r="I39" s="148">
        <f t="shared" si="12"/>
        <v>0</v>
      </c>
      <c r="J39" s="148">
        <f t="shared" si="12"/>
        <v>0</v>
      </c>
      <c r="K39" s="148">
        <f t="shared" si="12"/>
        <v>0</v>
      </c>
      <c r="L39" s="148">
        <f t="shared" si="12"/>
        <v>0</v>
      </c>
      <c r="M39" s="148">
        <f t="shared" si="12"/>
        <v>0</v>
      </c>
      <c r="N39" s="148">
        <f t="shared" si="12"/>
        <v>0</v>
      </c>
      <c r="O39" s="148">
        <f t="shared" si="12"/>
        <v>0</v>
      </c>
      <c r="P39" s="148">
        <f t="shared" si="12"/>
        <v>0</v>
      </c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  <c r="DT39" s="149"/>
      <c r="DU39" s="149"/>
      <c r="DV39" s="149"/>
      <c r="DW39" s="149"/>
      <c r="DX39" s="149"/>
      <c r="DY39" s="149"/>
      <c r="DZ39" s="149"/>
      <c r="EA39" s="149"/>
      <c r="EB39" s="149"/>
      <c r="EC39" s="149"/>
      <c r="ED39" s="149"/>
      <c r="EE39" s="149"/>
      <c r="EF39" s="149"/>
      <c r="EG39" s="149"/>
      <c r="EH39" s="149"/>
      <c r="EI39" s="149"/>
      <c r="EJ39" s="149"/>
      <c r="EK39" s="149"/>
      <c r="EL39" s="149"/>
      <c r="EM39" s="149"/>
      <c r="EN39" s="149"/>
      <c r="EO39" s="149"/>
      <c r="EP39" s="149"/>
      <c r="EQ39" s="149"/>
      <c r="ER39" s="149"/>
      <c r="ES39" s="149"/>
      <c r="ET39" s="149"/>
      <c r="EU39" s="149"/>
      <c r="EV39" s="149"/>
      <c r="EW39" s="149"/>
      <c r="EX39" s="149"/>
      <c r="EY39" s="149"/>
      <c r="EZ39" s="149"/>
      <c r="FA39" s="149"/>
      <c r="FB39" s="149"/>
      <c r="FC39" s="149"/>
      <c r="FD39" s="149"/>
      <c r="FE39" s="149"/>
      <c r="FF39" s="149"/>
      <c r="FG39" s="149"/>
      <c r="FH39" s="149"/>
      <c r="FI39" s="149"/>
      <c r="FJ39" s="149"/>
      <c r="FK39" s="149"/>
      <c r="FL39" s="149"/>
      <c r="FM39" s="149"/>
      <c r="FN39" s="149"/>
      <c r="FO39" s="149"/>
      <c r="FP39" s="149"/>
      <c r="FQ39" s="149"/>
      <c r="FR39" s="149"/>
      <c r="FS39" s="149"/>
      <c r="FT39" s="149"/>
      <c r="FU39" s="149"/>
      <c r="FV39" s="149"/>
      <c r="FW39" s="149"/>
      <c r="FX39" s="149"/>
      <c r="FY39" s="149"/>
      <c r="FZ39" s="149"/>
      <c r="GA39" s="149"/>
      <c r="GB39" s="149"/>
      <c r="GC39" s="149"/>
      <c r="GD39" s="149"/>
      <c r="GE39" s="150"/>
      <c r="GF39" s="150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  <c r="IK39" s="150"/>
      <c r="IL39" s="150"/>
      <c r="IM39" s="150"/>
      <c r="IN39" s="150"/>
      <c r="IO39" s="150"/>
      <c r="IP39" s="150"/>
      <c r="IQ39" s="150"/>
      <c r="IR39" s="150"/>
      <c r="IS39" s="150"/>
      <c r="IT39" s="150"/>
      <c r="IU39" s="150"/>
      <c r="IV39" s="150"/>
    </row>
    <row r="40" spans="1:256" s="151" customFormat="1" ht="12.6" customHeight="1">
      <c r="A40" s="152">
        <v>411</v>
      </c>
      <c r="B40" s="152" t="s">
        <v>867</v>
      </c>
      <c r="C40" s="94">
        <f t="shared" si="10"/>
        <v>0</v>
      </c>
      <c r="D40" s="154">
        <f>SUMIFS('Plan rashoda za unos u SAP'!$I$3:$I$501,'Plan rashoda za unos u SAP'!$C$3:$C$501,"=11",'Plan rashoda za unos u SAP'!$M$3:$M$501,"=411")</f>
        <v>0</v>
      </c>
      <c r="E40" s="154">
        <f>SUMIFS('Plan rashoda za unos u SAP'!$I$3:$I$501,'Plan rashoda za unos u SAP'!$C$3:$C$501,"=12",'Plan rashoda za unos u SAP'!$M$3:$M$501,"=411")</f>
        <v>0</v>
      </c>
      <c r="F40" s="154">
        <f>SUMIFS('Plan rashoda za unos u SAP'!$I$3:$I$501,'Plan rashoda za unos u SAP'!$C$3:$C$501,"=31",'Plan rashoda za unos u SAP'!$M$3:$M$501,"=411")</f>
        <v>0</v>
      </c>
      <c r="G40" s="154">
        <f>SUMIFS('Plan rashoda za unos u SAP'!$I$3:$I$501,'Plan rashoda za unos u SAP'!$C$3:$C$501,"=43",'Plan rashoda za unos u SAP'!$M$3:$M$501,"=411")</f>
        <v>0</v>
      </c>
      <c r="H40" s="154">
        <f>SUMIFS('Plan rashoda za unos u SAP'!$I$3:$I$501,'Plan rashoda za unos u SAP'!$C$3:$C$501,"=51",'Plan rashoda za unos u SAP'!$M$3:$M$501,"=411")</f>
        <v>0</v>
      </c>
      <c r="I40" s="154">
        <f>SUMIFS('Plan rashoda za unos u SAP'!$I$3:$I$501,'Plan rashoda za unos u SAP'!$C$3:$C$501,"=52",'Plan rashoda za unos u SAP'!$M$3:$M$501,"=411")</f>
        <v>0</v>
      </c>
      <c r="J40" s="154">
        <f>SUMIFS('Plan rashoda za unos u SAP'!$I$3:$I$501,'Plan rashoda za unos u SAP'!$C$3:$C$501,"=559",'Plan rashoda za unos u SAP'!$M$3:$M$501,"=411")</f>
        <v>0</v>
      </c>
      <c r="K40" s="154">
        <f>SUMIFS('Plan rashoda za unos u SAP'!$I$3:$I$501,'Plan rashoda za unos u SAP'!$C$3:$C$501,"=561",'Plan rashoda za unos u SAP'!$M$3:$M$501,"=411")</f>
        <v>0</v>
      </c>
      <c r="L40" s="154">
        <f>SUMIFS('Plan rashoda za unos u SAP'!$I$3:$I$501,'Plan rashoda za unos u SAP'!$C$3:$C$501,"=563",'Plan rashoda za unos u SAP'!$M$3:$M$501,"=411")</f>
        <v>0</v>
      </c>
      <c r="M40" s="154">
        <f>SUMIFS('Plan rashoda za unos u SAP'!$I$3:$I$501,'Plan rashoda za unos u SAP'!$C$3:$C$501,"=61",'Plan rashoda za unos u SAP'!$M$3:$M$501,"=411")</f>
        <v>0</v>
      </c>
      <c r="N40" s="154">
        <f>SUMIFS('Plan rashoda za unos u SAP'!$I$3:$I$501,'Plan rashoda za unos u SAP'!$C$3:$C$501,"=63",'Plan rashoda za unos u SAP'!$M$3:$M$501,"=411")</f>
        <v>0</v>
      </c>
      <c r="O40" s="154">
        <f>SUMIFS('Plan rashoda za unos u SAP'!$I$3:$I$501,'Plan rashoda za unos u SAP'!$C$3:$C$501,"=71",'Plan rashoda za unos u SAP'!$M$3:$M$501,"=411")</f>
        <v>0</v>
      </c>
      <c r="P40" s="154">
        <f>SUMIFS('Plan rashoda za unos u SAP'!$I$3:$I$501,'Plan rashoda za unos u SAP'!$C$3:$C$501,"=81",'Plan rashoda za unos u SAP'!$M$3:$M$501,"=411")</f>
        <v>0</v>
      </c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  <c r="HW40" s="133"/>
      <c r="HX40" s="133"/>
      <c r="HY40" s="133"/>
      <c r="HZ40" s="133"/>
      <c r="IA40" s="133"/>
      <c r="IB40" s="133"/>
      <c r="IC40" s="133"/>
      <c r="ID40" s="133"/>
      <c r="IE40" s="133"/>
      <c r="IF40" s="133"/>
      <c r="IG40" s="133"/>
      <c r="IH40" s="133"/>
      <c r="II40" s="133"/>
      <c r="IJ40" s="133"/>
      <c r="IK40" s="133"/>
      <c r="IL40" s="133"/>
      <c r="IM40" s="133"/>
      <c r="IN40" s="133"/>
      <c r="IO40" s="133"/>
      <c r="IP40" s="133"/>
      <c r="IQ40" s="133"/>
      <c r="IR40" s="133"/>
      <c r="IS40" s="133"/>
      <c r="IT40" s="133"/>
      <c r="IU40" s="133"/>
      <c r="IV40" s="133"/>
    </row>
    <row r="41" spans="1:256" s="151" customFormat="1" ht="12.6" customHeight="1">
      <c r="A41" s="155">
        <v>412</v>
      </c>
      <c r="B41" s="156" t="s">
        <v>868</v>
      </c>
      <c r="C41" s="94">
        <f t="shared" si="10"/>
        <v>0</v>
      </c>
      <c r="D41" s="154">
        <f>SUMIFS('Plan rashoda za unos u SAP'!$I$3:$I$501,'Plan rashoda za unos u SAP'!$C$3:$C$501,"=11",'Plan rashoda za unos u SAP'!$M$3:$M$501,"=412")</f>
        <v>0</v>
      </c>
      <c r="E41" s="154">
        <f>SUMIFS('Plan rashoda za unos u SAP'!$I$3:$I$501,'Plan rashoda za unos u SAP'!$C$3:$C$501,"=12",'Plan rashoda za unos u SAP'!$M$3:$M$501,"=412")</f>
        <v>0</v>
      </c>
      <c r="F41" s="154">
        <f>SUMIFS('Plan rashoda za unos u SAP'!$I$3:$I$501,'Plan rashoda za unos u SAP'!$C$3:$C$501,"=31",'Plan rashoda za unos u SAP'!$M$3:$M$501,"=412")</f>
        <v>0</v>
      </c>
      <c r="G41" s="154">
        <f>SUMIFS('Plan rashoda za unos u SAP'!$I$3:$I$501,'Plan rashoda za unos u SAP'!$C$3:$C$501,"=43",'Plan rashoda za unos u SAP'!$M$3:$M$501,"=412")</f>
        <v>0</v>
      </c>
      <c r="H41" s="154">
        <f>SUMIFS('Plan rashoda za unos u SAP'!$I$3:$I$501,'Plan rashoda za unos u SAP'!$C$3:$C$501,"=51",'Plan rashoda za unos u SAP'!$M$3:$M$501,"=412")</f>
        <v>0</v>
      </c>
      <c r="I41" s="154">
        <f>SUMIFS('Plan rashoda za unos u SAP'!$I$3:$I$501,'Plan rashoda za unos u SAP'!$C$3:$C$501,"=52",'Plan rashoda za unos u SAP'!$M$3:$M$501,"=412")</f>
        <v>0</v>
      </c>
      <c r="J41" s="154">
        <f>SUMIFS('Plan rashoda za unos u SAP'!$I$3:$I$501,'Plan rashoda za unos u SAP'!$C$3:$C$501,"=559",'Plan rashoda za unos u SAP'!$M$3:$M$501,"=412")</f>
        <v>0</v>
      </c>
      <c r="K41" s="154">
        <f>SUMIFS('Plan rashoda za unos u SAP'!$I$3:$I$501,'Plan rashoda za unos u SAP'!$C$3:$C$501,"=561",'Plan rashoda za unos u SAP'!$M$3:$M$501,"=412")</f>
        <v>0</v>
      </c>
      <c r="L41" s="154">
        <f>SUMIFS('Plan rashoda za unos u SAP'!$I$3:$I$501,'Plan rashoda za unos u SAP'!$C$3:$C$501,"=563",'Plan rashoda za unos u SAP'!$M$3:$M$501,"=412")</f>
        <v>0</v>
      </c>
      <c r="M41" s="154">
        <f>SUMIFS('Plan rashoda za unos u SAP'!$I$3:$I$501,'Plan rashoda za unos u SAP'!$C$3:$C$501,"=61",'Plan rashoda za unos u SAP'!$M$3:$M$501,"=412")</f>
        <v>0</v>
      </c>
      <c r="N41" s="154">
        <f>SUMIFS('Plan rashoda za unos u SAP'!$I$3:$I$501,'Plan rashoda za unos u SAP'!$C$3:$C$501,"=63",'Plan rashoda za unos u SAP'!$M$3:$M$501,"=412")</f>
        <v>0</v>
      </c>
      <c r="O41" s="154">
        <f>SUMIFS('Plan rashoda za unos u SAP'!$I$3:$I$501,'Plan rashoda za unos u SAP'!$C$3:$C$501,"=71",'Plan rashoda za unos u SAP'!$M$3:$M$501,"=412")</f>
        <v>0</v>
      </c>
      <c r="P41" s="154">
        <f>SUMIFS('Plan rashoda za unos u SAP'!$I$3:$I$501,'Plan rashoda za unos u SAP'!$C$3:$C$501,"=81",'Plan rashoda za unos u SAP'!$M$3:$M$501,"=412")</f>
        <v>0</v>
      </c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3"/>
      <c r="GF41" s="133"/>
      <c r="GG41" s="133"/>
      <c r="GH41" s="133"/>
      <c r="GI41" s="133"/>
      <c r="GJ41" s="133"/>
      <c r="GK41" s="133"/>
      <c r="GL41" s="133"/>
      <c r="GM41" s="133"/>
      <c r="GN41" s="133"/>
      <c r="GO41" s="133"/>
      <c r="GP41" s="133"/>
      <c r="GQ41" s="133"/>
      <c r="GR41" s="133"/>
      <c r="GS41" s="133"/>
      <c r="GT41" s="133"/>
      <c r="GU41" s="133"/>
      <c r="GV41" s="133"/>
      <c r="GW41" s="133"/>
      <c r="GX41" s="133"/>
      <c r="GY41" s="133"/>
      <c r="GZ41" s="133"/>
      <c r="HA41" s="133"/>
      <c r="HB41" s="133"/>
      <c r="HC41" s="133"/>
      <c r="HD41" s="133"/>
      <c r="HE41" s="133"/>
      <c r="HF41" s="133"/>
      <c r="HG41" s="133"/>
      <c r="HH41" s="133"/>
      <c r="HI41" s="133"/>
      <c r="HJ41" s="133"/>
      <c r="HK41" s="133"/>
      <c r="HL41" s="133"/>
      <c r="HM41" s="133"/>
      <c r="HN41" s="133"/>
      <c r="HO41" s="133"/>
      <c r="HP41" s="133"/>
      <c r="HQ41" s="133"/>
      <c r="HR41" s="133"/>
      <c r="HS41" s="133"/>
      <c r="HT41" s="133"/>
      <c r="HU41" s="133"/>
      <c r="HV41" s="133"/>
      <c r="HW41" s="133"/>
      <c r="HX41" s="133"/>
      <c r="HY41" s="133"/>
      <c r="HZ41" s="133"/>
      <c r="IA41" s="133"/>
      <c r="IB41" s="133"/>
      <c r="IC41" s="133"/>
      <c r="ID41" s="133"/>
      <c r="IE41" s="133"/>
      <c r="IF41" s="133"/>
      <c r="IG41" s="133"/>
      <c r="IH41" s="133"/>
      <c r="II41" s="133"/>
      <c r="IJ41" s="133"/>
      <c r="IK41" s="133"/>
      <c r="IL41" s="133"/>
      <c r="IM41" s="133"/>
      <c r="IN41" s="133"/>
      <c r="IO41" s="133"/>
      <c r="IP41" s="133"/>
      <c r="IQ41" s="133"/>
      <c r="IR41" s="133"/>
      <c r="IS41" s="133"/>
      <c r="IT41" s="133"/>
      <c r="IU41" s="133"/>
      <c r="IV41" s="133"/>
    </row>
    <row r="42" spans="1:256" s="166" customFormat="1" ht="12.6" customHeight="1">
      <c r="A42" s="157">
        <v>42</v>
      </c>
      <c r="B42" s="158" t="s">
        <v>869</v>
      </c>
      <c r="C42" s="110">
        <f t="shared" si="10"/>
        <v>0</v>
      </c>
      <c r="D42" s="110">
        <f t="shared" ref="D42:P42" si="13">SUM(D43:D48)</f>
        <v>0</v>
      </c>
      <c r="E42" s="110">
        <f t="shared" si="13"/>
        <v>0</v>
      </c>
      <c r="F42" s="110">
        <f t="shared" si="13"/>
        <v>0</v>
      </c>
      <c r="G42" s="110">
        <f t="shared" si="13"/>
        <v>0</v>
      </c>
      <c r="H42" s="110">
        <f t="shared" si="13"/>
        <v>0</v>
      </c>
      <c r="I42" s="110">
        <f t="shared" si="13"/>
        <v>0</v>
      </c>
      <c r="J42" s="110">
        <f t="shared" si="13"/>
        <v>0</v>
      </c>
      <c r="K42" s="110">
        <f t="shared" si="13"/>
        <v>0</v>
      </c>
      <c r="L42" s="110">
        <f t="shared" si="13"/>
        <v>0</v>
      </c>
      <c r="M42" s="110">
        <f t="shared" si="13"/>
        <v>0</v>
      </c>
      <c r="N42" s="110">
        <f t="shared" si="13"/>
        <v>0</v>
      </c>
      <c r="O42" s="110">
        <f t="shared" si="13"/>
        <v>0</v>
      </c>
      <c r="P42" s="110">
        <f t="shared" si="13"/>
        <v>0</v>
      </c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</row>
    <row r="43" spans="1:256" s="167" customFormat="1" ht="12.6" customHeight="1">
      <c r="A43" s="155">
        <v>421</v>
      </c>
      <c r="B43" s="156" t="s">
        <v>870</v>
      </c>
      <c r="C43" s="94">
        <f t="shared" si="10"/>
        <v>0</v>
      </c>
      <c r="D43" s="154">
        <f>SUMIFS('Plan rashoda za unos u SAP'!$I$3:$I$501,'Plan rashoda za unos u SAP'!$C$3:$C$501,"=11",'Plan rashoda za unos u SAP'!$M$3:$M$501,"=421")</f>
        <v>0</v>
      </c>
      <c r="E43" s="154">
        <f>SUMIFS('Plan rashoda za unos u SAP'!$I$3:$I$501,'Plan rashoda za unos u SAP'!$C$3:$C$501,"=12",'Plan rashoda za unos u SAP'!$M$3:$M$501,"=421")</f>
        <v>0</v>
      </c>
      <c r="F43" s="154">
        <f>SUMIFS('Plan rashoda za unos u SAP'!$I$3:$I$501,'Plan rashoda za unos u SAP'!$C$3:$C$501,"=31",'Plan rashoda za unos u SAP'!$M$3:$M$501,"=421")</f>
        <v>0</v>
      </c>
      <c r="G43" s="154">
        <f>SUMIFS('Plan rashoda za unos u SAP'!$I$3:$I$501,'Plan rashoda za unos u SAP'!$C$3:$C$501,"=43",'Plan rashoda za unos u SAP'!$M$3:$M$501,"=421")</f>
        <v>0</v>
      </c>
      <c r="H43" s="154">
        <f>SUMIFS('Plan rashoda za unos u SAP'!$I$3:$I$501,'Plan rashoda za unos u SAP'!$C$3:$C$501,"=51",'Plan rashoda za unos u SAP'!$M$3:$M$501,"=421")</f>
        <v>0</v>
      </c>
      <c r="I43" s="154">
        <f>SUMIFS('Plan rashoda za unos u SAP'!$I$3:$I$501,'Plan rashoda za unos u SAP'!$C$3:$C$501,"=52",'Plan rashoda za unos u SAP'!$M$3:$M$501,"=421")</f>
        <v>0</v>
      </c>
      <c r="J43" s="154">
        <f>SUMIFS('Plan rashoda za unos u SAP'!$I$3:$I$501,'Plan rashoda za unos u SAP'!$C$3:$C$501,"=559",'Plan rashoda za unos u SAP'!$M$3:$M$501,"=421")</f>
        <v>0</v>
      </c>
      <c r="K43" s="154">
        <f>SUMIFS('Plan rashoda za unos u SAP'!$I$3:$I$501,'Plan rashoda za unos u SAP'!$C$3:$C$501,"=561",'Plan rashoda za unos u SAP'!$M$3:$M$501,"=421")</f>
        <v>0</v>
      </c>
      <c r="L43" s="154">
        <f>SUMIFS('Plan rashoda za unos u SAP'!$I$3:$I$501,'Plan rashoda za unos u SAP'!$C$3:$C$501,"=563",'Plan rashoda za unos u SAP'!$M$3:$M$501,"=421")</f>
        <v>0</v>
      </c>
      <c r="M43" s="154">
        <f>SUMIFS('Plan rashoda za unos u SAP'!$I$3:$I$501,'Plan rashoda za unos u SAP'!$C$3:$C$501,"=61",'Plan rashoda za unos u SAP'!$M$3:$M$501,"=421")</f>
        <v>0</v>
      </c>
      <c r="N43" s="154">
        <f>SUMIFS('Plan rashoda za unos u SAP'!$I$3:$I$501,'Plan rashoda za unos u SAP'!$C$3:$C$501,"=63",'Plan rashoda za unos u SAP'!$M$3:$M$501,"=421")</f>
        <v>0</v>
      </c>
      <c r="O43" s="154">
        <f>SUMIFS('Plan rashoda za unos u SAP'!$I$3:$I$501,'Plan rashoda za unos u SAP'!$C$3:$C$501,"=71",'Plan rashoda za unos u SAP'!$M$3:$M$501,"=421")</f>
        <v>0</v>
      </c>
      <c r="P43" s="154">
        <f>SUMIFS('Plan rashoda za unos u SAP'!$I$3:$I$501,'Plan rashoda za unos u SAP'!$C$3:$C$501,"=81",'Plan rashoda za unos u SAP'!$M$3:$M$501,"=421")</f>
        <v>0</v>
      </c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3"/>
      <c r="GF43" s="133"/>
      <c r="GG43" s="133"/>
      <c r="GH43" s="133"/>
      <c r="GI43" s="133"/>
      <c r="GJ43" s="133"/>
      <c r="GK43" s="133"/>
      <c r="GL43" s="133"/>
      <c r="GM43" s="133"/>
      <c r="GN43" s="133"/>
      <c r="GO43" s="133"/>
      <c r="GP43" s="133"/>
      <c r="GQ43" s="133"/>
      <c r="GR43" s="133"/>
      <c r="GS43" s="133"/>
      <c r="GT43" s="133"/>
      <c r="GU43" s="133"/>
      <c r="GV43" s="133"/>
      <c r="GW43" s="133"/>
      <c r="GX43" s="133"/>
      <c r="GY43" s="133"/>
      <c r="GZ43" s="133"/>
      <c r="HA43" s="133"/>
      <c r="HB43" s="133"/>
      <c r="HC43" s="133"/>
      <c r="HD43" s="133"/>
      <c r="HE43" s="133"/>
      <c r="HF43" s="133"/>
      <c r="HG43" s="133"/>
      <c r="HH43" s="133"/>
      <c r="HI43" s="133"/>
      <c r="HJ43" s="133"/>
      <c r="HK43" s="133"/>
      <c r="HL43" s="133"/>
      <c r="HM43" s="133"/>
      <c r="HN43" s="133"/>
      <c r="HO43" s="133"/>
      <c r="HP43" s="133"/>
      <c r="HQ43" s="133"/>
      <c r="HR43" s="133"/>
      <c r="HS43" s="133"/>
      <c r="HT43" s="133"/>
      <c r="HU43" s="133"/>
      <c r="HV43" s="133"/>
      <c r="HW43" s="133"/>
      <c r="HX43" s="133"/>
      <c r="HY43" s="133"/>
      <c r="HZ43" s="133"/>
      <c r="IA43" s="133"/>
      <c r="IB43" s="133"/>
      <c r="IC43" s="133"/>
      <c r="ID43" s="133"/>
      <c r="IE43" s="133"/>
      <c r="IF43" s="133"/>
      <c r="IG43" s="133"/>
      <c r="IH43" s="133"/>
      <c r="II43" s="133"/>
      <c r="IJ43" s="133"/>
      <c r="IK43" s="133"/>
      <c r="IL43" s="133"/>
      <c r="IM43" s="133"/>
      <c r="IN43" s="133"/>
      <c r="IO43" s="133"/>
      <c r="IP43" s="133"/>
      <c r="IQ43" s="133"/>
      <c r="IR43" s="133"/>
      <c r="IS43" s="133"/>
      <c r="IT43" s="133"/>
      <c r="IU43" s="133"/>
      <c r="IV43" s="133"/>
    </row>
    <row r="44" spans="1:256" s="167" customFormat="1" ht="12.6" customHeight="1">
      <c r="A44" s="155">
        <v>422</v>
      </c>
      <c r="B44" s="156" t="s">
        <v>871</v>
      </c>
      <c r="C44" s="94">
        <f t="shared" si="10"/>
        <v>0</v>
      </c>
      <c r="D44" s="154">
        <f>SUMIFS('Plan rashoda za unos u SAP'!$I$3:$I$501,'Plan rashoda za unos u SAP'!$C$3:$C$501,"=11",'Plan rashoda za unos u SAP'!$M$3:$M$501,"=422")</f>
        <v>0</v>
      </c>
      <c r="E44" s="154">
        <f>SUMIFS('Plan rashoda za unos u SAP'!$I$3:$I$501,'Plan rashoda za unos u SAP'!$C$3:$C$501,"=12",'Plan rashoda za unos u SAP'!$M$3:$M$501,"=422")</f>
        <v>0</v>
      </c>
      <c r="F44" s="154">
        <f>SUMIFS('Plan rashoda za unos u SAP'!$I$3:$I$501,'Plan rashoda za unos u SAP'!$C$3:$C$501,"=31",'Plan rashoda za unos u SAP'!$M$3:$M$501,"=422")</f>
        <v>0</v>
      </c>
      <c r="G44" s="154">
        <f>SUMIFS('Plan rashoda za unos u SAP'!$I$3:$I$501,'Plan rashoda za unos u SAP'!$C$3:$C$501,"=43",'Plan rashoda za unos u SAP'!$M$3:$M$501,"=422")</f>
        <v>0</v>
      </c>
      <c r="H44" s="154">
        <f>SUMIFS('Plan rashoda za unos u SAP'!$I$3:$I$501,'Plan rashoda za unos u SAP'!$C$3:$C$501,"=51",'Plan rashoda za unos u SAP'!$M$3:$M$501,"=422")</f>
        <v>0</v>
      </c>
      <c r="I44" s="154">
        <f>SUMIFS('Plan rashoda za unos u SAP'!$I$3:$I$501,'Plan rashoda za unos u SAP'!$C$3:$C$501,"=52",'Plan rashoda za unos u SAP'!$M$3:$M$501,"=422")</f>
        <v>0</v>
      </c>
      <c r="J44" s="154">
        <f>SUMIFS('Plan rashoda za unos u SAP'!$I$3:$I$501,'Plan rashoda za unos u SAP'!$C$3:$C$501,"=559",'Plan rashoda za unos u SAP'!$M$3:$M$501,"=422")</f>
        <v>0</v>
      </c>
      <c r="K44" s="154">
        <f>SUMIFS('Plan rashoda za unos u SAP'!$I$3:$I$501,'Plan rashoda za unos u SAP'!$C$3:$C$501,"=561",'Plan rashoda za unos u SAP'!$M$3:$M$501,"=422")</f>
        <v>0</v>
      </c>
      <c r="L44" s="154">
        <f>SUMIFS('Plan rashoda za unos u SAP'!$I$3:$I$501,'Plan rashoda za unos u SAP'!$C$3:$C$501,"=563",'Plan rashoda za unos u SAP'!$M$3:$M$501,"=422")</f>
        <v>0</v>
      </c>
      <c r="M44" s="154">
        <f>SUMIFS('Plan rashoda za unos u SAP'!$I$3:$I$501,'Plan rashoda za unos u SAP'!$C$3:$C$501,"=61",'Plan rashoda za unos u SAP'!$M$3:$M$501,"=422")</f>
        <v>0</v>
      </c>
      <c r="N44" s="154">
        <f>SUMIFS('Plan rashoda za unos u SAP'!$I$3:$I$501,'Plan rashoda za unos u SAP'!$C$3:$C$501,"=63",'Plan rashoda za unos u SAP'!$M$3:$M$501,"=422")</f>
        <v>0</v>
      </c>
      <c r="O44" s="154">
        <f>SUMIFS('Plan rashoda za unos u SAP'!$I$3:$I$501,'Plan rashoda za unos u SAP'!$C$3:$C$501,"=71",'Plan rashoda za unos u SAP'!$M$3:$M$501,"=422")</f>
        <v>0</v>
      </c>
      <c r="P44" s="154">
        <f>SUMIFS('Plan rashoda za unos u SAP'!$I$3:$I$501,'Plan rashoda za unos u SAP'!$C$3:$C$501,"=81",'Plan rashoda za unos u SAP'!$M$3:$M$501,"=422")</f>
        <v>0</v>
      </c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3"/>
      <c r="GS44" s="133"/>
      <c r="GT44" s="133"/>
      <c r="GU44" s="133"/>
      <c r="GV44" s="133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3"/>
      <c r="HI44" s="133"/>
      <c r="HJ44" s="133"/>
      <c r="HK44" s="133"/>
      <c r="HL44" s="133"/>
      <c r="HM44" s="133"/>
      <c r="HN44" s="133"/>
      <c r="HO44" s="133"/>
      <c r="HP44" s="133"/>
      <c r="HQ44" s="133"/>
      <c r="HR44" s="133"/>
      <c r="HS44" s="133"/>
      <c r="HT44" s="133"/>
      <c r="HU44" s="133"/>
      <c r="HV44" s="133"/>
      <c r="HW44" s="133"/>
      <c r="HX44" s="133"/>
      <c r="HY44" s="133"/>
      <c r="HZ44" s="133"/>
      <c r="IA44" s="133"/>
      <c r="IB44" s="133"/>
      <c r="IC44" s="133"/>
      <c r="ID44" s="133"/>
      <c r="IE44" s="133"/>
      <c r="IF44" s="133"/>
      <c r="IG44" s="133"/>
      <c r="IH44" s="133"/>
      <c r="II44" s="133"/>
      <c r="IJ44" s="133"/>
      <c r="IK44" s="133"/>
      <c r="IL44" s="133"/>
      <c r="IM44" s="133"/>
      <c r="IN44" s="133"/>
      <c r="IO44" s="133"/>
      <c r="IP44" s="133"/>
      <c r="IQ44" s="133"/>
      <c r="IR44" s="133"/>
      <c r="IS44" s="133"/>
      <c r="IT44" s="133"/>
      <c r="IU44" s="133"/>
      <c r="IV44" s="133"/>
    </row>
    <row r="45" spans="1:256" s="167" customFormat="1" ht="12.6" customHeight="1">
      <c r="A45" s="155">
        <v>423</v>
      </c>
      <c r="B45" s="156" t="s">
        <v>872</v>
      </c>
      <c r="C45" s="94">
        <f t="shared" si="10"/>
        <v>0</v>
      </c>
      <c r="D45" s="154">
        <f>SUMIFS('Plan rashoda za unos u SAP'!$I$3:$I$501,'Plan rashoda za unos u SAP'!$C$3:$C$501,"=11",'Plan rashoda za unos u SAP'!$M$3:$M$501,"=423")</f>
        <v>0</v>
      </c>
      <c r="E45" s="154">
        <f>SUMIFS('Plan rashoda za unos u SAP'!$I$3:$I$501,'Plan rashoda za unos u SAP'!$C$3:$C$501,"=12",'Plan rashoda za unos u SAP'!$M$3:$M$501,"=423")</f>
        <v>0</v>
      </c>
      <c r="F45" s="154">
        <f>SUMIFS('Plan rashoda za unos u SAP'!$I$3:$I$501,'Plan rashoda za unos u SAP'!$C$3:$C$501,"=31",'Plan rashoda za unos u SAP'!$M$3:$M$501,"=423")</f>
        <v>0</v>
      </c>
      <c r="G45" s="154">
        <f>SUMIFS('Plan rashoda za unos u SAP'!$I$3:$I$501,'Plan rashoda za unos u SAP'!$C$3:$C$501,"=43",'Plan rashoda za unos u SAP'!$M$3:$M$501,"=423")</f>
        <v>0</v>
      </c>
      <c r="H45" s="154">
        <f>SUMIFS('Plan rashoda za unos u SAP'!$I$3:$I$501,'Plan rashoda za unos u SAP'!$C$3:$C$501,"=51",'Plan rashoda za unos u SAP'!$M$3:$M$501,"=423")</f>
        <v>0</v>
      </c>
      <c r="I45" s="154">
        <f>SUMIFS('Plan rashoda za unos u SAP'!$I$3:$I$501,'Plan rashoda za unos u SAP'!$C$3:$C$501,"=52",'Plan rashoda za unos u SAP'!$M$3:$M$501,"=423")</f>
        <v>0</v>
      </c>
      <c r="J45" s="154">
        <f>SUMIFS('Plan rashoda za unos u SAP'!$I$3:$I$501,'Plan rashoda za unos u SAP'!$C$3:$C$501,"=559",'Plan rashoda za unos u SAP'!$M$3:$M$501,"=423")</f>
        <v>0</v>
      </c>
      <c r="K45" s="154">
        <f>SUMIFS('Plan rashoda za unos u SAP'!$I$3:$I$501,'Plan rashoda za unos u SAP'!$C$3:$C$501,"=561",'Plan rashoda za unos u SAP'!$M$3:$M$501,"=423")</f>
        <v>0</v>
      </c>
      <c r="L45" s="154">
        <f>SUMIFS('Plan rashoda za unos u SAP'!$I$3:$I$501,'Plan rashoda za unos u SAP'!$C$3:$C$501,"=563",'Plan rashoda za unos u SAP'!$M$3:$M$501,"=423")</f>
        <v>0</v>
      </c>
      <c r="M45" s="154">
        <f>SUMIFS('Plan rashoda za unos u SAP'!$I$3:$I$501,'Plan rashoda za unos u SAP'!$C$3:$C$501,"=61",'Plan rashoda za unos u SAP'!$M$3:$M$501,"=423")</f>
        <v>0</v>
      </c>
      <c r="N45" s="154">
        <f>SUMIFS('Plan rashoda za unos u SAP'!$I$3:$I$501,'Plan rashoda za unos u SAP'!$C$3:$C$501,"=63",'Plan rashoda za unos u SAP'!$M$3:$M$501,"=423")</f>
        <v>0</v>
      </c>
      <c r="O45" s="154">
        <f>SUMIFS('Plan rashoda za unos u SAP'!$I$3:$I$501,'Plan rashoda za unos u SAP'!$C$3:$C$501,"=71",'Plan rashoda za unos u SAP'!$M$3:$M$501,"=423")</f>
        <v>0</v>
      </c>
      <c r="P45" s="154">
        <f>SUMIFS('Plan rashoda za unos u SAP'!$I$3:$I$501,'Plan rashoda za unos u SAP'!$C$3:$C$501,"=81",'Plan rashoda za unos u SAP'!$M$3:$M$501,"=423")</f>
        <v>0</v>
      </c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3"/>
      <c r="GF45" s="133"/>
      <c r="GG45" s="133"/>
      <c r="GH45" s="133"/>
      <c r="GI45" s="133"/>
      <c r="GJ45" s="133"/>
      <c r="GK45" s="133"/>
      <c r="GL45" s="133"/>
      <c r="GM45" s="133"/>
      <c r="GN45" s="133"/>
      <c r="GO45" s="133"/>
      <c r="GP45" s="133"/>
      <c r="GQ45" s="133"/>
      <c r="GR45" s="133"/>
      <c r="GS45" s="133"/>
      <c r="GT45" s="133"/>
      <c r="GU45" s="133"/>
      <c r="GV45" s="133"/>
      <c r="GW45" s="133"/>
      <c r="GX45" s="133"/>
      <c r="GY45" s="133"/>
      <c r="GZ45" s="133"/>
      <c r="HA45" s="133"/>
      <c r="HB45" s="133"/>
      <c r="HC45" s="133"/>
      <c r="HD45" s="133"/>
      <c r="HE45" s="133"/>
      <c r="HF45" s="133"/>
      <c r="HG45" s="133"/>
      <c r="HH45" s="133"/>
      <c r="HI45" s="133"/>
      <c r="HJ45" s="133"/>
      <c r="HK45" s="133"/>
      <c r="HL45" s="133"/>
      <c r="HM45" s="133"/>
      <c r="HN45" s="133"/>
      <c r="HO45" s="133"/>
      <c r="HP45" s="133"/>
      <c r="HQ45" s="133"/>
      <c r="HR45" s="133"/>
      <c r="HS45" s="133"/>
      <c r="HT45" s="133"/>
      <c r="HU45" s="133"/>
      <c r="HV45" s="133"/>
      <c r="HW45" s="133"/>
      <c r="HX45" s="133"/>
      <c r="HY45" s="133"/>
      <c r="HZ45" s="133"/>
      <c r="IA45" s="133"/>
      <c r="IB45" s="133"/>
      <c r="IC45" s="133"/>
      <c r="ID45" s="133"/>
      <c r="IE45" s="133"/>
      <c r="IF45" s="133"/>
      <c r="IG45" s="133"/>
      <c r="IH45" s="133"/>
      <c r="II45" s="133"/>
      <c r="IJ45" s="133"/>
      <c r="IK45" s="133"/>
      <c r="IL45" s="133"/>
      <c r="IM45" s="133"/>
      <c r="IN45" s="133"/>
      <c r="IO45" s="133"/>
      <c r="IP45" s="133"/>
      <c r="IQ45" s="133"/>
      <c r="IR45" s="133"/>
      <c r="IS45" s="133"/>
      <c r="IT45" s="133"/>
      <c r="IU45" s="133"/>
      <c r="IV45" s="133"/>
    </row>
    <row r="46" spans="1:256" s="167" customFormat="1" ht="12.6" customHeight="1">
      <c r="A46" s="155">
        <v>424</v>
      </c>
      <c r="B46" s="161" t="s">
        <v>873</v>
      </c>
      <c r="C46" s="94">
        <f t="shared" si="10"/>
        <v>0</v>
      </c>
      <c r="D46" s="154">
        <f>SUMIFS('Plan rashoda za unos u SAP'!$I$3:$I$501,'Plan rashoda za unos u SAP'!$C$3:$C$501,"=11",'Plan rashoda za unos u SAP'!$M$3:$M$501,"=424")</f>
        <v>0</v>
      </c>
      <c r="E46" s="154">
        <f>SUMIFS('Plan rashoda za unos u SAP'!$I$3:$I$501,'Plan rashoda za unos u SAP'!$C$3:$C$501,"=12",'Plan rashoda za unos u SAP'!$M$3:$M$501,"=424")</f>
        <v>0</v>
      </c>
      <c r="F46" s="154">
        <f>SUMIFS('Plan rashoda za unos u SAP'!$I$3:$I$501,'Plan rashoda za unos u SAP'!$C$3:$C$501,"=31",'Plan rashoda za unos u SAP'!$M$3:$M$501,"=424")</f>
        <v>0</v>
      </c>
      <c r="G46" s="154">
        <f>SUMIFS('Plan rashoda za unos u SAP'!$I$3:$I$501,'Plan rashoda za unos u SAP'!$C$3:$C$501,"=43",'Plan rashoda za unos u SAP'!$M$3:$M$501,"=424")</f>
        <v>0</v>
      </c>
      <c r="H46" s="154">
        <f>SUMIFS('Plan rashoda za unos u SAP'!$I$3:$I$501,'Plan rashoda za unos u SAP'!$C$3:$C$501,"=51",'Plan rashoda za unos u SAP'!$M$3:$M$501,"=424")</f>
        <v>0</v>
      </c>
      <c r="I46" s="154">
        <f>SUMIFS('Plan rashoda za unos u SAP'!$I$3:$I$501,'Plan rashoda za unos u SAP'!$C$3:$C$501,"=52",'Plan rashoda za unos u SAP'!$M$3:$M$501,"=424")</f>
        <v>0</v>
      </c>
      <c r="J46" s="154">
        <f>SUMIFS('Plan rashoda za unos u SAP'!$I$3:$I$501,'Plan rashoda za unos u SAP'!$C$3:$C$501,"=559",'Plan rashoda za unos u SAP'!$M$3:$M$501,"=424")</f>
        <v>0</v>
      </c>
      <c r="K46" s="154">
        <f>SUMIFS('Plan rashoda za unos u SAP'!$I$3:$I$501,'Plan rashoda za unos u SAP'!$C$3:$C$501,"=561",'Plan rashoda za unos u SAP'!$M$3:$M$501,"=424")</f>
        <v>0</v>
      </c>
      <c r="L46" s="154">
        <f>SUMIFS('Plan rashoda za unos u SAP'!$I$3:$I$501,'Plan rashoda za unos u SAP'!$C$3:$C$501,"=563",'Plan rashoda za unos u SAP'!$M$3:$M$501,"=424")</f>
        <v>0</v>
      </c>
      <c r="M46" s="154">
        <f>SUMIFS('Plan rashoda za unos u SAP'!$I$3:$I$501,'Plan rashoda za unos u SAP'!$C$3:$C$501,"=61",'Plan rashoda za unos u SAP'!$M$3:$M$501,"=424")</f>
        <v>0</v>
      </c>
      <c r="N46" s="154">
        <f>SUMIFS('Plan rashoda za unos u SAP'!$I$3:$I$501,'Plan rashoda za unos u SAP'!$C$3:$C$501,"=63",'Plan rashoda za unos u SAP'!$M$3:$M$501,"=424")</f>
        <v>0</v>
      </c>
      <c r="O46" s="154">
        <f>SUMIFS('Plan rashoda za unos u SAP'!$I$3:$I$501,'Plan rashoda za unos u SAP'!$C$3:$C$501,"=71",'Plan rashoda za unos u SAP'!$M$3:$M$501,"=424")</f>
        <v>0</v>
      </c>
      <c r="P46" s="154">
        <f>SUMIFS('Plan rashoda za unos u SAP'!$I$3:$I$501,'Plan rashoda za unos u SAP'!$C$3:$C$501,"=81",'Plan rashoda za unos u SAP'!$M$3:$M$501,"=424")</f>
        <v>0</v>
      </c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3"/>
      <c r="GF46" s="133"/>
      <c r="GG46" s="133"/>
      <c r="GH46" s="133"/>
      <c r="GI46" s="133"/>
      <c r="GJ46" s="133"/>
      <c r="GK46" s="133"/>
      <c r="GL46" s="133"/>
      <c r="GM46" s="133"/>
      <c r="GN46" s="133"/>
      <c r="GO46" s="133"/>
      <c r="GP46" s="133"/>
      <c r="GQ46" s="133"/>
      <c r="GR46" s="133"/>
      <c r="GS46" s="133"/>
      <c r="GT46" s="133"/>
      <c r="GU46" s="133"/>
      <c r="GV46" s="133"/>
      <c r="GW46" s="133"/>
      <c r="GX46" s="133"/>
      <c r="GY46" s="133"/>
      <c r="GZ46" s="133"/>
      <c r="HA46" s="133"/>
      <c r="HB46" s="133"/>
      <c r="HC46" s="133"/>
      <c r="HD46" s="133"/>
      <c r="HE46" s="133"/>
      <c r="HF46" s="133"/>
      <c r="HG46" s="133"/>
      <c r="HH46" s="133"/>
      <c r="HI46" s="133"/>
      <c r="HJ46" s="133"/>
      <c r="HK46" s="133"/>
      <c r="HL46" s="133"/>
      <c r="HM46" s="133"/>
      <c r="HN46" s="133"/>
      <c r="HO46" s="133"/>
      <c r="HP46" s="133"/>
      <c r="HQ46" s="133"/>
      <c r="HR46" s="133"/>
      <c r="HS46" s="133"/>
      <c r="HT46" s="133"/>
      <c r="HU46" s="133"/>
      <c r="HV46" s="133"/>
      <c r="HW46" s="133"/>
      <c r="HX46" s="133"/>
      <c r="HY46" s="133"/>
      <c r="HZ46" s="133"/>
      <c r="IA46" s="133"/>
      <c r="IB46" s="133"/>
      <c r="IC46" s="133"/>
      <c r="ID46" s="133"/>
      <c r="IE46" s="133"/>
      <c r="IF46" s="133"/>
      <c r="IG46" s="133"/>
      <c r="IH46" s="133"/>
      <c r="II46" s="133"/>
      <c r="IJ46" s="133"/>
      <c r="IK46" s="133"/>
      <c r="IL46" s="133"/>
      <c r="IM46" s="133"/>
      <c r="IN46" s="133"/>
      <c r="IO46" s="133"/>
      <c r="IP46" s="133"/>
      <c r="IQ46" s="133"/>
      <c r="IR46" s="133"/>
      <c r="IS46" s="133"/>
      <c r="IT46" s="133"/>
      <c r="IU46" s="133"/>
      <c r="IV46" s="133"/>
    </row>
    <row r="47" spans="1:256" s="167" customFormat="1" ht="12.6" customHeight="1">
      <c r="A47" s="155">
        <v>425</v>
      </c>
      <c r="B47" s="161" t="s">
        <v>874</v>
      </c>
      <c r="C47" s="94">
        <f t="shared" si="10"/>
        <v>0</v>
      </c>
      <c r="D47" s="154">
        <f>SUMIFS('Plan rashoda za unos u SAP'!$I$3:$I$501,'Plan rashoda za unos u SAP'!$C$3:$C$501,"=11",'Plan rashoda za unos u SAP'!$M$3:$M$501,"=425")</f>
        <v>0</v>
      </c>
      <c r="E47" s="154">
        <f>SUMIFS('Plan rashoda za unos u SAP'!$I$3:$I$501,'Plan rashoda za unos u SAP'!$C$3:$C$501,"=12",'Plan rashoda za unos u SAP'!$M$3:$M$501,"=425")</f>
        <v>0</v>
      </c>
      <c r="F47" s="154">
        <f>SUMIFS('Plan rashoda za unos u SAP'!$I$3:$I$501,'Plan rashoda za unos u SAP'!$C$3:$C$501,"=31",'Plan rashoda za unos u SAP'!$M$3:$M$501,"=425")</f>
        <v>0</v>
      </c>
      <c r="G47" s="154">
        <f>SUMIFS('Plan rashoda za unos u SAP'!$I$3:$I$501,'Plan rashoda za unos u SAP'!$C$3:$C$501,"=43",'Plan rashoda za unos u SAP'!$M$3:$M$501,"=425")</f>
        <v>0</v>
      </c>
      <c r="H47" s="154">
        <f>SUMIFS('Plan rashoda za unos u SAP'!$I$3:$I$501,'Plan rashoda za unos u SAP'!$C$3:$C$501,"=51",'Plan rashoda za unos u SAP'!$M$3:$M$501,"=425")</f>
        <v>0</v>
      </c>
      <c r="I47" s="154">
        <f>SUMIFS('Plan rashoda za unos u SAP'!$I$3:$I$501,'Plan rashoda za unos u SAP'!$C$3:$C$501,"=52",'Plan rashoda za unos u SAP'!$M$3:$M$501,"=425")</f>
        <v>0</v>
      </c>
      <c r="J47" s="154">
        <f>SUMIFS('Plan rashoda za unos u SAP'!$I$3:$I$501,'Plan rashoda za unos u SAP'!$C$3:$C$501,"=559",'Plan rashoda za unos u SAP'!$M$3:$M$501,"=425")</f>
        <v>0</v>
      </c>
      <c r="K47" s="154">
        <f>SUMIFS('Plan rashoda za unos u SAP'!$I$3:$I$501,'Plan rashoda za unos u SAP'!$C$3:$C$501,"=561",'Plan rashoda za unos u SAP'!$M$3:$M$501,"=425")</f>
        <v>0</v>
      </c>
      <c r="L47" s="154">
        <f>SUMIFS('Plan rashoda za unos u SAP'!$I$3:$I$501,'Plan rashoda za unos u SAP'!$C$3:$C$501,"=563",'Plan rashoda za unos u SAP'!$M$3:$M$501,"=425")</f>
        <v>0</v>
      </c>
      <c r="M47" s="154">
        <f>SUMIFS('Plan rashoda za unos u SAP'!$I$3:$I$501,'Plan rashoda za unos u SAP'!$C$3:$C$501,"=61",'Plan rashoda za unos u SAP'!$M$3:$M$501,"=425")</f>
        <v>0</v>
      </c>
      <c r="N47" s="154">
        <f>SUMIFS('Plan rashoda za unos u SAP'!$I$3:$I$501,'Plan rashoda za unos u SAP'!$C$3:$C$501,"=63",'Plan rashoda za unos u SAP'!$M$3:$M$501,"=425")</f>
        <v>0</v>
      </c>
      <c r="O47" s="154">
        <f>SUMIFS('Plan rashoda za unos u SAP'!$I$3:$I$501,'Plan rashoda za unos u SAP'!$C$3:$C$501,"=71",'Plan rashoda za unos u SAP'!$M$3:$M$501,"=425")</f>
        <v>0</v>
      </c>
      <c r="P47" s="154">
        <f>SUMIFS('Plan rashoda za unos u SAP'!$I$3:$I$501,'Plan rashoda za unos u SAP'!$C$3:$C$501,"=81",'Plan rashoda za unos u SAP'!$M$3:$M$501,"=425")</f>
        <v>0</v>
      </c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3"/>
      <c r="GF47" s="133"/>
      <c r="GG47" s="133"/>
      <c r="GH47" s="133"/>
      <c r="GI47" s="133"/>
      <c r="GJ47" s="133"/>
      <c r="GK47" s="133"/>
      <c r="GL47" s="133"/>
      <c r="GM47" s="133"/>
      <c r="GN47" s="133"/>
      <c r="GO47" s="133"/>
      <c r="GP47" s="133"/>
      <c r="GQ47" s="133"/>
      <c r="GR47" s="133"/>
      <c r="GS47" s="133"/>
      <c r="GT47" s="133"/>
      <c r="GU47" s="133"/>
      <c r="GV47" s="133"/>
      <c r="GW47" s="133"/>
      <c r="GX47" s="133"/>
      <c r="GY47" s="133"/>
      <c r="GZ47" s="133"/>
      <c r="HA47" s="133"/>
      <c r="HB47" s="133"/>
      <c r="HC47" s="133"/>
      <c r="HD47" s="133"/>
      <c r="HE47" s="133"/>
      <c r="HF47" s="133"/>
      <c r="HG47" s="133"/>
      <c r="HH47" s="133"/>
      <c r="HI47" s="133"/>
      <c r="HJ47" s="133"/>
      <c r="HK47" s="133"/>
      <c r="HL47" s="133"/>
      <c r="HM47" s="133"/>
      <c r="HN47" s="133"/>
      <c r="HO47" s="133"/>
      <c r="HP47" s="133"/>
      <c r="HQ47" s="133"/>
      <c r="HR47" s="133"/>
      <c r="HS47" s="133"/>
      <c r="HT47" s="133"/>
      <c r="HU47" s="133"/>
      <c r="HV47" s="133"/>
      <c r="HW47" s="133"/>
      <c r="HX47" s="133"/>
      <c r="HY47" s="133"/>
      <c r="HZ47" s="133"/>
      <c r="IA47" s="133"/>
      <c r="IB47" s="133"/>
      <c r="IC47" s="133"/>
      <c r="ID47" s="133"/>
      <c r="IE47" s="133"/>
      <c r="IF47" s="133"/>
      <c r="IG47" s="133"/>
      <c r="IH47" s="133"/>
      <c r="II47" s="133"/>
      <c r="IJ47" s="133"/>
      <c r="IK47" s="133"/>
      <c r="IL47" s="133"/>
      <c r="IM47" s="133"/>
      <c r="IN47" s="133"/>
      <c r="IO47" s="133"/>
      <c r="IP47" s="133"/>
      <c r="IQ47" s="133"/>
      <c r="IR47" s="133"/>
      <c r="IS47" s="133"/>
      <c r="IT47" s="133"/>
      <c r="IU47" s="133"/>
      <c r="IV47" s="133"/>
    </row>
    <row r="48" spans="1:256" s="167" customFormat="1" ht="12.6" customHeight="1">
      <c r="A48" s="155">
        <v>426</v>
      </c>
      <c r="B48" s="156" t="s">
        <v>875</v>
      </c>
      <c r="C48" s="94">
        <f t="shared" si="10"/>
        <v>0</v>
      </c>
      <c r="D48" s="154">
        <f>SUMIFS('Plan rashoda za unos u SAP'!$I$3:$I$501,'Plan rashoda za unos u SAP'!$C$3:$C$501,"=11",'Plan rashoda za unos u SAP'!$M$3:$M$501,"=426")</f>
        <v>0</v>
      </c>
      <c r="E48" s="154">
        <f>SUMIFS('Plan rashoda za unos u SAP'!$I$3:$I$501,'Plan rashoda za unos u SAP'!$C$3:$C$501,"=12",'Plan rashoda za unos u SAP'!$M$3:$M$501,"=426")</f>
        <v>0</v>
      </c>
      <c r="F48" s="154">
        <f>SUMIFS('Plan rashoda za unos u SAP'!$I$3:$I$501,'Plan rashoda za unos u SAP'!$C$3:$C$501,"=31",'Plan rashoda za unos u SAP'!$M$3:$M$501,"=426")</f>
        <v>0</v>
      </c>
      <c r="G48" s="154">
        <f>SUMIFS('Plan rashoda za unos u SAP'!$I$3:$I$501,'Plan rashoda za unos u SAP'!$C$3:$C$501,"=43",'Plan rashoda za unos u SAP'!$M$3:$M$501,"=426")</f>
        <v>0</v>
      </c>
      <c r="H48" s="154">
        <f>SUMIFS('Plan rashoda za unos u SAP'!$I$3:$I$501,'Plan rashoda za unos u SAP'!$C$3:$C$501,"=51",'Plan rashoda za unos u SAP'!$M$3:$M$501,"=426")</f>
        <v>0</v>
      </c>
      <c r="I48" s="154">
        <f>SUMIFS('Plan rashoda za unos u SAP'!$I$3:$I$501,'Plan rashoda za unos u SAP'!$C$3:$C$501,"=52",'Plan rashoda za unos u SAP'!$M$3:$M$501,"=426")</f>
        <v>0</v>
      </c>
      <c r="J48" s="154">
        <f>SUMIFS('Plan rashoda za unos u SAP'!$I$3:$I$501,'Plan rashoda za unos u SAP'!$C$3:$C$501,"=559",'Plan rashoda za unos u SAP'!$M$3:$M$501,"=426")</f>
        <v>0</v>
      </c>
      <c r="K48" s="154">
        <f>SUMIFS('Plan rashoda za unos u SAP'!$I$3:$I$501,'Plan rashoda za unos u SAP'!$C$3:$C$501,"=561",'Plan rashoda za unos u SAP'!$M$3:$M$501,"=426")</f>
        <v>0</v>
      </c>
      <c r="L48" s="154">
        <f>SUMIFS('Plan rashoda za unos u SAP'!$I$3:$I$501,'Plan rashoda za unos u SAP'!$C$3:$C$501,"=563",'Plan rashoda za unos u SAP'!$M$3:$M$501,"=426")</f>
        <v>0</v>
      </c>
      <c r="M48" s="154">
        <f>SUMIFS('Plan rashoda za unos u SAP'!$I$3:$I$501,'Plan rashoda za unos u SAP'!$C$3:$C$501,"=61",'Plan rashoda za unos u SAP'!$M$3:$M$501,"=426")</f>
        <v>0</v>
      </c>
      <c r="N48" s="154">
        <f>SUMIFS('Plan rashoda za unos u SAP'!$I$3:$I$501,'Plan rashoda za unos u SAP'!$C$3:$C$501,"=63",'Plan rashoda za unos u SAP'!$M$3:$M$501,"=426")</f>
        <v>0</v>
      </c>
      <c r="O48" s="154">
        <f>SUMIFS('Plan rashoda za unos u SAP'!$I$3:$I$501,'Plan rashoda za unos u SAP'!$C$3:$C$501,"=71",'Plan rashoda za unos u SAP'!$M$3:$M$501,"=426")</f>
        <v>0</v>
      </c>
      <c r="P48" s="154">
        <f>SUMIFS('Plan rashoda za unos u SAP'!$I$3:$I$501,'Plan rashoda za unos u SAP'!$C$3:$C$501,"=81",'Plan rashoda za unos u SAP'!$M$3:$M$501,"=426")</f>
        <v>0</v>
      </c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3"/>
      <c r="GF48" s="133"/>
      <c r="GG48" s="133"/>
      <c r="GH48" s="133"/>
      <c r="GI48" s="133"/>
      <c r="GJ48" s="133"/>
      <c r="GK48" s="133"/>
      <c r="GL48" s="133"/>
      <c r="GM48" s="133"/>
      <c r="GN48" s="133"/>
      <c r="GO48" s="133"/>
      <c r="GP48" s="133"/>
      <c r="GQ48" s="133"/>
      <c r="GR48" s="133"/>
      <c r="GS48" s="133"/>
      <c r="GT48" s="133"/>
      <c r="GU48" s="133"/>
      <c r="GV48" s="133"/>
      <c r="GW48" s="133"/>
      <c r="GX48" s="133"/>
      <c r="GY48" s="133"/>
      <c r="GZ48" s="133"/>
      <c r="HA48" s="133"/>
      <c r="HB48" s="133"/>
      <c r="HC48" s="133"/>
      <c r="HD48" s="133"/>
      <c r="HE48" s="133"/>
      <c r="HF48" s="133"/>
      <c r="HG48" s="133"/>
      <c r="HH48" s="133"/>
      <c r="HI48" s="133"/>
      <c r="HJ48" s="133"/>
      <c r="HK48" s="133"/>
      <c r="HL48" s="133"/>
      <c r="HM48" s="133"/>
      <c r="HN48" s="133"/>
      <c r="HO48" s="133"/>
      <c r="HP48" s="133"/>
      <c r="HQ48" s="133"/>
      <c r="HR48" s="133"/>
      <c r="HS48" s="133"/>
      <c r="HT48" s="133"/>
      <c r="HU48" s="133"/>
      <c r="HV48" s="133"/>
      <c r="HW48" s="133"/>
      <c r="HX48" s="133"/>
      <c r="HY48" s="133"/>
      <c r="HZ48" s="133"/>
      <c r="IA48" s="133"/>
      <c r="IB48" s="133"/>
      <c r="IC48" s="133"/>
      <c r="ID48" s="133"/>
      <c r="IE48" s="133"/>
      <c r="IF48" s="133"/>
      <c r="IG48" s="133"/>
      <c r="IH48" s="133"/>
      <c r="II48" s="133"/>
      <c r="IJ48" s="133"/>
      <c r="IK48" s="133"/>
      <c r="IL48" s="133"/>
      <c r="IM48" s="133"/>
      <c r="IN48" s="133"/>
      <c r="IO48" s="133"/>
      <c r="IP48" s="133"/>
      <c r="IQ48" s="133"/>
      <c r="IR48" s="133"/>
      <c r="IS48" s="133"/>
      <c r="IT48" s="133"/>
      <c r="IU48" s="133"/>
      <c r="IV48" s="133"/>
    </row>
    <row r="49" spans="1:256" s="151" customFormat="1" ht="12.6" customHeight="1">
      <c r="A49" s="145">
        <v>43</v>
      </c>
      <c r="B49" s="146" t="s">
        <v>876</v>
      </c>
      <c r="C49" s="110">
        <f t="shared" si="10"/>
        <v>0</v>
      </c>
      <c r="D49" s="148">
        <f t="shared" ref="D49:P49" si="14">SUM(D50)</f>
        <v>0</v>
      </c>
      <c r="E49" s="148">
        <f t="shared" si="14"/>
        <v>0</v>
      </c>
      <c r="F49" s="148">
        <f t="shared" si="14"/>
        <v>0</v>
      </c>
      <c r="G49" s="148">
        <f t="shared" si="14"/>
        <v>0</v>
      </c>
      <c r="H49" s="148">
        <f t="shared" si="14"/>
        <v>0</v>
      </c>
      <c r="I49" s="148">
        <f t="shared" si="14"/>
        <v>0</v>
      </c>
      <c r="J49" s="148">
        <f t="shared" si="14"/>
        <v>0</v>
      </c>
      <c r="K49" s="148">
        <f t="shared" si="14"/>
        <v>0</v>
      </c>
      <c r="L49" s="148">
        <f t="shared" si="14"/>
        <v>0</v>
      </c>
      <c r="M49" s="148">
        <f t="shared" si="14"/>
        <v>0</v>
      </c>
      <c r="N49" s="148">
        <f t="shared" si="14"/>
        <v>0</v>
      </c>
      <c r="O49" s="148">
        <f t="shared" si="14"/>
        <v>0</v>
      </c>
      <c r="P49" s="148">
        <f t="shared" si="14"/>
        <v>0</v>
      </c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49"/>
      <c r="CN49" s="149"/>
      <c r="CO49" s="149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  <c r="DL49" s="149"/>
      <c r="DM49" s="149"/>
      <c r="DN49" s="149"/>
      <c r="DO49" s="149"/>
      <c r="DP49" s="149"/>
      <c r="DQ49" s="149"/>
      <c r="DR49" s="149"/>
      <c r="DS49" s="149"/>
      <c r="DT49" s="149"/>
      <c r="DU49" s="149"/>
      <c r="DV49" s="149"/>
      <c r="DW49" s="149"/>
      <c r="DX49" s="149"/>
      <c r="DY49" s="149"/>
      <c r="DZ49" s="149"/>
      <c r="EA49" s="149"/>
      <c r="EB49" s="149"/>
      <c r="EC49" s="149"/>
      <c r="ED49" s="149"/>
      <c r="EE49" s="149"/>
      <c r="EF49" s="149"/>
      <c r="EG49" s="149"/>
      <c r="EH49" s="149"/>
      <c r="EI49" s="149"/>
      <c r="EJ49" s="149"/>
      <c r="EK49" s="149"/>
      <c r="EL49" s="149"/>
      <c r="EM49" s="149"/>
      <c r="EN49" s="149"/>
      <c r="EO49" s="149"/>
      <c r="EP49" s="149"/>
      <c r="EQ49" s="149"/>
      <c r="ER49" s="149"/>
      <c r="ES49" s="149"/>
      <c r="ET49" s="149"/>
      <c r="EU49" s="149"/>
      <c r="EV49" s="149"/>
      <c r="EW49" s="149"/>
      <c r="EX49" s="149"/>
      <c r="EY49" s="149"/>
      <c r="EZ49" s="149"/>
      <c r="FA49" s="149"/>
      <c r="FB49" s="149"/>
      <c r="FC49" s="149"/>
      <c r="FD49" s="149"/>
      <c r="FE49" s="149"/>
      <c r="FF49" s="149"/>
      <c r="FG49" s="149"/>
      <c r="FH49" s="149"/>
      <c r="FI49" s="149"/>
      <c r="FJ49" s="149"/>
      <c r="FK49" s="149"/>
      <c r="FL49" s="149"/>
      <c r="FM49" s="149"/>
      <c r="FN49" s="149"/>
      <c r="FO49" s="149"/>
      <c r="FP49" s="149"/>
      <c r="FQ49" s="149"/>
      <c r="FR49" s="149"/>
      <c r="FS49" s="149"/>
      <c r="FT49" s="149"/>
      <c r="FU49" s="149"/>
      <c r="FV49" s="149"/>
      <c r="FW49" s="149"/>
      <c r="FX49" s="149"/>
      <c r="FY49" s="149"/>
      <c r="FZ49" s="149"/>
      <c r="GA49" s="149"/>
      <c r="GB49" s="149"/>
      <c r="GC49" s="149"/>
      <c r="GD49" s="149"/>
      <c r="GE49" s="150"/>
      <c r="GF49" s="150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  <c r="IK49" s="150"/>
      <c r="IL49" s="150"/>
      <c r="IM49" s="150"/>
      <c r="IN49" s="150"/>
      <c r="IO49" s="150"/>
      <c r="IP49" s="150"/>
      <c r="IQ49" s="150"/>
      <c r="IR49" s="150"/>
      <c r="IS49" s="150"/>
      <c r="IT49" s="150"/>
      <c r="IU49" s="150"/>
      <c r="IV49" s="150"/>
    </row>
    <row r="50" spans="1:256" s="151" customFormat="1" ht="12.6" customHeight="1">
      <c r="A50" s="155">
        <v>431</v>
      </c>
      <c r="B50" s="156" t="s">
        <v>877</v>
      </c>
      <c r="C50" s="94">
        <f t="shared" si="10"/>
        <v>0</v>
      </c>
      <c r="D50" s="154">
        <f>SUMIFS('Plan rashoda za unos u SAP'!$I$3:$I$501,'Plan rashoda za unos u SAP'!$C$3:$C$501,"=11",'Plan rashoda za unos u SAP'!$M$3:$M$501,"=431")</f>
        <v>0</v>
      </c>
      <c r="E50" s="154">
        <f>SUMIFS('Plan rashoda za unos u SAP'!$I$3:$I$501,'Plan rashoda za unos u SAP'!$C$3:$C$501,"=12",'Plan rashoda za unos u SAP'!$M$3:$M$501,"=431")</f>
        <v>0</v>
      </c>
      <c r="F50" s="154">
        <f>SUMIFS('Plan rashoda za unos u SAP'!$I$3:$I$501,'Plan rashoda za unos u SAP'!$C$3:$C$501,"=31",'Plan rashoda za unos u SAP'!$M$3:$M$501,"=431")</f>
        <v>0</v>
      </c>
      <c r="G50" s="154">
        <f>SUMIFS('Plan rashoda za unos u SAP'!$I$3:$I$501,'Plan rashoda za unos u SAP'!$C$3:$C$501,"=43",'Plan rashoda za unos u SAP'!$M$3:$M$501,"=431")</f>
        <v>0</v>
      </c>
      <c r="H50" s="154">
        <f>SUMIFS('Plan rashoda za unos u SAP'!$I$3:$I$501,'Plan rashoda za unos u SAP'!$C$3:$C$501,"=51",'Plan rashoda za unos u SAP'!$M$3:$M$501,"=431")</f>
        <v>0</v>
      </c>
      <c r="I50" s="154">
        <f>SUMIFS('Plan rashoda za unos u SAP'!$I$3:$I$501,'Plan rashoda za unos u SAP'!$C$3:$C$501,"=52",'Plan rashoda za unos u SAP'!$M$3:$M$501,"=431")</f>
        <v>0</v>
      </c>
      <c r="J50" s="154">
        <f>SUMIFS('Plan rashoda za unos u SAP'!$I$3:$I$501,'Plan rashoda za unos u SAP'!$C$3:$C$501,"=559",'Plan rashoda za unos u SAP'!$M$3:$M$501,"=431")</f>
        <v>0</v>
      </c>
      <c r="K50" s="154">
        <f>SUMIFS('Plan rashoda za unos u SAP'!$I$3:$I$501,'Plan rashoda za unos u SAP'!$C$3:$C$501,"=561",'Plan rashoda za unos u SAP'!$M$3:$M$501,"=431")</f>
        <v>0</v>
      </c>
      <c r="L50" s="154">
        <f>SUMIFS('Plan rashoda za unos u SAP'!$I$3:$I$501,'Plan rashoda za unos u SAP'!$C$3:$C$501,"=563",'Plan rashoda za unos u SAP'!$M$3:$M$501,"=431")</f>
        <v>0</v>
      </c>
      <c r="M50" s="154">
        <f>SUMIFS('Plan rashoda za unos u SAP'!$I$3:$I$501,'Plan rashoda za unos u SAP'!$C$3:$C$501,"=61",'Plan rashoda za unos u SAP'!$M$3:$M$501,"=431")</f>
        <v>0</v>
      </c>
      <c r="N50" s="154">
        <f>SUMIFS('Plan rashoda za unos u SAP'!$I$3:$I$501,'Plan rashoda za unos u SAP'!$C$3:$C$501,"=63",'Plan rashoda za unos u SAP'!$M$3:$M$501,"=431")</f>
        <v>0</v>
      </c>
      <c r="O50" s="154">
        <f>SUMIFS('Plan rashoda za unos u SAP'!$I$3:$I$501,'Plan rashoda za unos u SAP'!$C$3:$C$501,"=71",'Plan rashoda za unos u SAP'!$M$3:$M$501,"=431")</f>
        <v>0</v>
      </c>
      <c r="P50" s="154">
        <f>SUMIFS('Plan rashoda za unos u SAP'!$I$3:$I$501,'Plan rashoda za unos u SAP'!$C$3:$C$501,"=81",'Plan rashoda za unos u SAP'!$M$3:$M$501,"=431")</f>
        <v>0</v>
      </c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33"/>
      <c r="GT50" s="133"/>
      <c r="GU50" s="133"/>
      <c r="GV50" s="133"/>
      <c r="GW50" s="133"/>
      <c r="GX50" s="133"/>
      <c r="GY50" s="133"/>
      <c r="GZ50" s="133"/>
      <c r="HA50" s="133"/>
      <c r="HB50" s="133"/>
      <c r="HC50" s="133"/>
      <c r="HD50" s="133"/>
      <c r="HE50" s="133"/>
      <c r="HF50" s="133"/>
      <c r="HG50" s="133"/>
      <c r="HH50" s="133"/>
      <c r="HI50" s="133"/>
      <c r="HJ50" s="133"/>
      <c r="HK50" s="133"/>
      <c r="HL50" s="133"/>
      <c r="HM50" s="133"/>
      <c r="HN50" s="133"/>
      <c r="HO50" s="133"/>
      <c r="HP50" s="133"/>
      <c r="HQ50" s="133"/>
      <c r="HR50" s="133"/>
      <c r="HS50" s="133"/>
      <c r="HT50" s="133"/>
      <c r="HU50" s="133"/>
      <c r="HV50" s="133"/>
      <c r="HW50" s="133"/>
      <c r="HX50" s="133"/>
      <c r="HY50" s="133"/>
      <c r="HZ50" s="133"/>
      <c r="IA50" s="133"/>
      <c r="IB50" s="133"/>
      <c r="IC50" s="133"/>
      <c r="ID50" s="133"/>
      <c r="IE50" s="133"/>
      <c r="IF50" s="133"/>
      <c r="IG50" s="133"/>
      <c r="IH50" s="133"/>
      <c r="II50" s="133"/>
      <c r="IJ50" s="133"/>
      <c r="IK50" s="133"/>
      <c r="IL50" s="133"/>
      <c r="IM50" s="133"/>
      <c r="IN50" s="133"/>
      <c r="IO50" s="133"/>
      <c r="IP50" s="133"/>
      <c r="IQ50" s="133"/>
      <c r="IR50" s="133"/>
      <c r="IS50" s="133"/>
      <c r="IT50" s="133"/>
      <c r="IU50" s="133"/>
      <c r="IV50" s="133"/>
    </row>
    <row r="51" spans="1:256" s="151" customFormat="1" ht="12.6" customHeight="1">
      <c r="A51" s="145">
        <v>44</v>
      </c>
      <c r="B51" s="146" t="s">
        <v>877</v>
      </c>
      <c r="C51" s="110">
        <f t="shared" si="10"/>
        <v>0</v>
      </c>
      <c r="D51" s="148">
        <f t="shared" ref="D51:P51" si="15">SUM(D52)</f>
        <v>0</v>
      </c>
      <c r="E51" s="148">
        <f t="shared" si="15"/>
        <v>0</v>
      </c>
      <c r="F51" s="148">
        <f t="shared" si="15"/>
        <v>0</v>
      </c>
      <c r="G51" s="148">
        <f t="shared" si="15"/>
        <v>0</v>
      </c>
      <c r="H51" s="148">
        <f t="shared" si="15"/>
        <v>0</v>
      </c>
      <c r="I51" s="148">
        <f t="shared" si="15"/>
        <v>0</v>
      </c>
      <c r="J51" s="148">
        <f t="shared" si="15"/>
        <v>0</v>
      </c>
      <c r="K51" s="148">
        <f t="shared" si="15"/>
        <v>0</v>
      </c>
      <c r="L51" s="148">
        <f t="shared" si="15"/>
        <v>0</v>
      </c>
      <c r="M51" s="148">
        <f t="shared" si="15"/>
        <v>0</v>
      </c>
      <c r="N51" s="148">
        <f t="shared" si="15"/>
        <v>0</v>
      </c>
      <c r="O51" s="148">
        <f t="shared" si="15"/>
        <v>0</v>
      </c>
      <c r="P51" s="148">
        <f t="shared" si="15"/>
        <v>0</v>
      </c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49"/>
      <c r="CN51" s="149"/>
      <c r="CO51" s="149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  <c r="DL51" s="149"/>
      <c r="DM51" s="149"/>
      <c r="DN51" s="149"/>
      <c r="DO51" s="149"/>
      <c r="DP51" s="149"/>
      <c r="DQ51" s="149"/>
      <c r="DR51" s="149"/>
      <c r="DS51" s="149"/>
      <c r="DT51" s="149"/>
      <c r="DU51" s="149"/>
      <c r="DV51" s="149"/>
      <c r="DW51" s="149"/>
      <c r="DX51" s="149"/>
      <c r="DY51" s="149"/>
      <c r="DZ51" s="149"/>
      <c r="EA51" s="149"/>
      <c r="EB51" s="149"/>
      <c r="EC51" s="149"/>
      <c r="ED51" s="149"/>
      <c r="EE51" s="149"/>
      <c r="EF51" s="149"/>
      <c r="EG51" s="149"/>
      <c r="EH51" s="149"/>
      <c r="EI51" s="149"/>
      <c r="EJ51" s="149"/>
      <c r="EK51" s="149"/>
      <c r="EL51" s="149"/>
      <c r="EM51" s="149"/>
      <c r="EN51" s="149"/>
      <c r="EO51" s="149"/>
      <c r="EP51" s="149"/>
      <c r="EQ51" s="149"/>
      <c r="ER51" s="149"/>
      <c r="ES51" s="149"/>
      <c r="ET51" s="149"/>
      <c r="EU51" s="149"/>
      <c r="EV51" s="149"/>
      <c r="EW51" s="149"/>
      <c r="EX51" s="149"/>
      <c r="EY51" s="149"/>
      <c r="EZ51" s="149"/>
      <c r="FA51" s="149"/>
      <c r="FB51" s="149"/>
      <c r="FC51" s="149"/>
      <c r="FD51" s="149"/>
      <c r="FE51" s="149"/>
      <c r="FF51" s="149"/>
      <c r="FG51" s="149"/>
      <c r="FH51" s="149"/>
      <c r="FI51" s="149"/>
      <c r="FJ51" s="149"/>
      <c r="FK51" s="149"/>
      <c r="FL51" s="149"/>
      <c r="FM51" s="149"/>
      <c r="FN51" s="149"/>
      <c r="FO51" s="149"/>
      <c r="FP51" s="149"/>
      <c r="FQ51" s="149"/>
      <c r="FR51" s="149"/>
      <c r="FS51" s="149"/>
      <c r="FT51" s="149"/>
      <c r="FU51" s="149"/>
      <c r="FV51" s="149"/>
      <c r="FW51" s="149"/>
      <c r="FX51" s="149"/>
      <c r="FY51" s="149"/>
      <c r="FZ51" s="149"/>
      <c r="GA51" s="149"/>
      <c r="GB51" s="149"/>
      <c r="GC51" s="149"/>
      <c r="GD51" s="149"/>
      <c r="GE51" s="150"/>
      <c r="GF51" s="150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  <c r="IK51" s="150"/>
      <c r="IL51" s="150"/>
      <c r="IM51" s="150"/>
      <c r="IN51" s="150"/>
      <c r="IO51" s="150"/>
      <c r="IP51" s="150"/>
      <c r="IQ51" s="150"/>
      <c r="IR51" s="150"/>
      <c r="IS51" s="150"/>
      <c r="IT51" s="150"/>
      <c r="IU51" s="150"/>
      <c r="IV51" s="150"/>
    </row>
    <row r="52" spans="1:256" s="151" customFormat="1" ht="12.6" customHeight="1">
      <c r="A52" s="155">
        <v>441</v>
      </c>
      <c r="B52" s="161" t="s">
        <v>878</v>
      </c>
      <c r="C52" s="94">
        <f t="shared" si="10"/>
        <v>0</v>
      </c>
      <c r="D52" s="154">
        <f>SUMIFS('Plan rashoda za unos u SAP'!$I$3:$I$501,'Plan rashoda za unos u SAP'!$C$3:$C$501,"=11",'Plan rashoda za unos u SAP'!$M$3:$M$501,"=441")</f>
        <v>0</v>
      </c>
      <c r="E52" s="154">
        <f>SUMIFS('Plan rashoda za unos u SAP'!$I$3:$I$501,'Plan rashoda za unos u SAP'!$C$3:$C$501,"=12",'Plan rashoda za unos u SAP'!$M$3:$M$501,"=441")</f>
        <v>0</v>
      </c>
      <c r="F52" s="154">
        <f>SUMIFS('Plan rashoda za unos u SAP'!$I$3:$I$501,'Plan rashoda za unos u SAP'!$C$3:$C$501,"=31",'Plan rashoda za unos u SAP'!$M$3:$M$501,"=441")</f>
        <v>0</v>
      </c>
      <c r="G52" s="154">
        <f>SUMIFS('Plan rashoda za unos u SAP'!$I$3:$I$501,'Plan rashoda za unos u SAP'!$C$3:$C$501,"=43",'Plan rashoda za unos u SAP'!$M$3:$M$501,"=441")</f>
        <v>0</v>
      </c>
      <c r="H52" s="154">
        <f>SUMIFS('Plan rashoda za unos u SAP'!$I$3:$I$501,'Plan rashoda za unos u SAP'!$C$3:$C$501,"=51",'Plan rashoda za unos u SAP'!$M$3:$M$501,"=441")</f>
        <v>0</v>
      </c>
      <c r="I52" s="154">
        <f>SUMIFS('Plan rashoda za unos u SAP'!$I$3:$I$501,'Plan rashoda za unos u SAP'!$C$3:$C$501,"=52",'Plan rashoda za unos u SAP'!$M$3:$M$501,"=441")</f>
        <v>0</v>
      </c>
      <c r="J52" s="154">
        <f>SUMIFS('Plan rashoda za unos u SAP'!$I$3:$I$501,'Plan rashoda za unos u SAP'!$C$3:$C$501,"=559",'Plan rashoda za unos u SAP'!$M$3:$M$501,"=441")</f>
        <v>0</v>
      </c>
      <c r="K52" s="154">
        <f>SUMIFS('Plan rashoda za unos u SAP'!$I$3:$I$501,'Plan rashoda za unos u SAP'!$C$3:$C$501,"=561",'Plan rashoda za unos u SAP'!$M$3:$M$501,"=441")</f>
        <v>0</v>
      </c>
      <c r="L52" s="154">
        <f>SUMIFS('Plan rashoda za unos u SAP'!$I$3:$I$501,'Plan rashoda za unos u SAP'!$C$3:$C$501,"=563",'Plan rashoda za unos u SAP'!$M$3:$M$501,"=441")</f>
        <v>0</v>
      </c>
      <c r="M52" s="154">
        <f>SUMIFS('Plan rashoda za unos u SAP'!$I$3:$I$501,'Plan rashoda za unos u SAP'!$C$3:$C$501,"=61",'Plan rashoda za unos u SAP'!$M$3:$M$501,"=441")</f>
        <v>0</v>
      </c>
      <c r="N52" s="154">
        <f>SUMIFS('Plan rashoda za unos u SAP'!$I$3:$I$501,'Plan rashoda za unos u SAP'!$C$3:$C$501,"=63",'Plan rashoda za unos u SAP'!$M$3:$M$501,"=441")</f>
        <v>0</v>
      </c>
      <c r="O52" s="154">
        <f>SUMIFS('Plan rashoda za unos u SAP'!$I$3:$I$501,'Plan rashoda za unos u SAP'!$C$3:$C$501,"=71",'Plan rashoda za unos u SAP'!$M$3:$M$501,"=441")</f>
        <v>0</v>
      </c>
      <c r="P52" s="154">
        <f>SUMIFS('Plan rashoda za unos u SAP'!$I$3:$I$501,'Plan rashoda za unos u SAP'!$C$3:$C$501,"=81",'Plan rashoda za unos u SAP'!$M$3:$M$501,"=441")</f>
        <v>0</v>
      </c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3"/>
      <c r="GF52" s="133"/>
      <c r="GG52" s="133"/>
      <c r="GH52" s="133"/>
      <c r="GI52" s="133"/>
      <c r="GJ52" s="133"/>
      <c r="GK52" s="133"/>
      <c r="GL52" s="133"/>
      <c r="GM52" s="133"/>
      <c r="GN52" s="133"/>
      <c r="GO52" s="133"/>
      <c r="GP52" s="133"/>
      <c r="GQ52" s="133"/>
      <c r="GR52" s="133"/>
      <c r="GS52" s="133"/>
      <c r="GT52" s="133"/>
      <c r="GU52" s="133"/>
      <c r="GV52" s="133"/>
      <c r="GW52" s="133"/>
      <c r="GX52" s="133"/>
      <c r="GY52" s="133"/>
      <c r="GZ52" s="133"/>
      <c r="HA52" s="133"/>
      <c r="HB52" s="133"/>
      <c r="HC52" s="133"/>
      <c r="HD52" s="133"/>
      <c r="HE52" s="133"/>
      <c r="HF52" s="133"/>
      <c r="HG52" s="133"/>
      <c r="HH52" s="133"/>
      <c r="HI52" s="133"/>
      <c r="HJ52" s="133"/>
      <c r="HK52" s="133"/>
      <c r="HL52" s="133"/>
      <c r="HM52" s="133"/>
      <c r="HN52" s="133"/>
      <c r="HO52" s="133"/>
      <c r="HP52" s="133"/>
      <c r="HQ52" s="133"/>
      <c r="HR52" s="133"/>
      <c r="HS52" s="133"/>
      <c r="HT52" s="133"/>
      <c r="HU52" s="133"/>
      <c r="HV52" s="133"/>
      <c r="HW52" s="133"/>
      <c r="HX52" s="133"/>
      <c r="HY52" s="133"/>
      <c r="HZ52" s="133"/>
      <c r="IA52" s="133"/>
      <c r="IB52" s="133"/>
      <c r="IC52" s="133"/>
      <c r="ID52" s="133"/>
      <c r="IE52" s="133"/>
      <c r="IF52" s="133"/>
      <c r="IG52" s="133"/>
      <c r="IH52" s="133"/>
      <c r="II52" s="133"/>
      <c r="IJ52" s="133"/>
      <c r="IK52" s="133"/>
      <c r="IL52" s="133"/>
      <c r="IM52" s="133"/>
      <c r="IN52" s="133"/>
      <c r="IO52" s="133"/>
      <c r="IP52" s="133"/>
      <c r="IQ52" s="133"/>
      <c r="IR52" s="133"/>
      <c r="IS52" s="133"/>
      <c r="IT52" s="133"/>
      <c r="IU52" s="133"/>
      <c r="IV52" s="133"/>
    </row>
    <row r="53" spans="1:256" s="166" customFormat="1" ht="12.6" customHeight="1">
      <c r="A53" s="157">
        <v>45</v>
      </c>
      <c r="B53" s="158" t="s">
        <v>879</v>
      </c>
      <c r="C53" s="110">
        <f t="shared" si="10"/>
        <v>0</v>
      </c>
      <c r="D53" s="110">
        <f t="shared" ref="D53:P53" si="16">SUM(D54:D57)</f>
        <v>0</v>
      </c>
      <c r="E53" s="110">
        <f t="shared" si="16"/>
        <v>0</v>
      </c>
      <c r="F53" s="110">
        <f t="shared" si="16"/>
        <v>0</v>
      </c>
      <c r="G53" s="110">
        <f t="shared" si="16"/>
        <v>0</v>
      </c>
      <c r="H53" s="110">
        <f t="shared" si="16"/>
        <v>0</v>
      </c>
      <c r="I53" s="110">
        <f t="shared" si="16"/>
        <v>0</v>
      </c>
      <c r="J53" s="110">
        <f t="shared" si="16"/>
        <v>0</v>
      </c>
      <c r="K53" s="110">
        <f t="shared" si="16"/>
        <v>0</v>
      </c>
      <c r="L53" s="110">
        <f t="shared" si="16"/>
        <v>0</v>
      </c>
      <c r="M53" s="110">
        <f t="shared" si="16"/>
        <v>0</v>
      </c>
      <c r="N53" s="110">
        <f t="shared" si="16"/>
        <v>0</v>
      </c>
      <c r="O53" s="110">
        <f t="shared" si="16"/>
        <v>0</v>
      </c>
      <c r="P53" s="110">
        <f t="shared" si="16"/>
        <v>0</v>
      </c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60"/>
      <c r="GF53" s="160"/>
      <c r="GG53" s="160"/>
      <c r="GH53" s="160"/>
      <c r="GI53" s="160"/>
      <c r="GJ53" s="160"/>
      <c r="GK53" s="160"/>
      <c r="GL53" s="160"/>
      <c r="GM53" s="160"/>
      <c r="GN53" s="160"/>
      <c r="GO53" s="160"/>
      <c r="GP53" s="160"/>
      <c r="GQ53" s="160"/>
      <c r="GR53" s="160"/>
      <c r="GS53" s="160"/>
      <c r="GT53" s="160"/>
      <c r="GU53" s="160"/>
      <c r="GV53" s="160"/>
      <c r="GW53" s="160"/>
      <c r="GX53" s="160"/>
      <c r="GY53" s="160"/>
      <c r="GZ53" s="160"/>
      <c r="HA53" s="160"/>
      <c r="HB53" s="160"/>
      <c r="HC53" s="160"/>
      <c r="HD53" s="160"/>
      <c r="HE53" s="160"/>
      <c r="HF53" s="160"/>
      <c r="HG53" s="160"/>
      <c r="HH53" s="160"/>
      <c r="HI53" s="160"/>
      <c r="HJ53" s="160"/>
      <c r="HK53" s="160"/>
      <c r="HL53" s="160"/>
      <c r="HM53" s="160"/>
      <c r="HN53" s="160"/>
      <c r="HO53" s="160"/>
      <c r="HP53" s="160"/>
      <c r="HQ53" s="160"/>
      <c r="HR53" s="160"/>
      <c r="HS53" s="160"/>
      <c r="HT53" s="160"/>
      <c r="HU53" s="160"/>
      <c r="HV53" s="160"/>
      <c r="HW53" s="160"/>
      <c r="HX53" s="160"/>
      <c r="HY53" s="160"/>
      <c r="HZ53" s="160"/>
      <c r="IA53" s="160"/>
      <c r="IB53" s="160"/>
      <c r="IC53" s="160"/>
      <c r="ID53" s="160"/>
      <c r="IE53" s="160"/>
      <c r="IF53" s="160"/>
      <c r="IG53" s="160"/>
      <c r="IH53" s="160"/>
      <c r="II53" s="160"/>
      <c r="IJ53" s="160"/>
      <c r="IK53" s="160"/>
      <c r="IL53" s="160"/>
      <c r="IM53" s="160"/>
      <c r="IN53" s="160"/>
      <c r="IO53" s="160"/>
      <c r="IP53" s="160"/>
      <c r="IQ53" s="160"/>
      <c r="IR53" s="160"/>
      <c r="IS53" s="160"/>
      <c r="IT53" s="160"/>
      <c r="IU53" s="160"/>
      <c r="IV53" s="160"/>
    </row>
    <row r="54" spans="1:256" s="167" customFormat="1" ht="12.6" customHeight="1">
      <c r="A54" s="155">
        <v>451</v>
      </c>
      <c r="B54" s="156" t="s">
        <v>740</v>
      </c>
      <c r="C54" s="94">
        <f t="shared" si="10"/>
        <v>0</v>
      </c>
      <c r="D54" s="154">
        <f>SUMIFS('Plan rashoda za unos u SAP'!$I$3:$I$501,'Plan rashoda za unos u SAP'!$C$3:$C$501,"=11",'Plan rashoda za unos u SAP'!$M$3:$M$501,"=451")</f>
        <v>0</v>
      </c>
      <c r="E54" s="154">
        <f>SUMIFS('Plan rashoda za unos u SAP'!$I$3:$I$501,'Plan rashoda za unos u SAP'!$C$3:$C$501,"=12",'Plan rashoda za unos u SAP'!$M$3:$M$501,"=451")</f>
        <v>0</v>
      </c>
      <c r="F54" s="154">
        <f>SUMIFS('Plan rashoda za unos u SAP'!$I$3:$I$501,'Plan rashoda za unos u SAP'!$C$3:$C$501,"=31",'Plan rashoda za unos u SAP'!$M$3:$M$501,"=451")</f>
        <v>0</v>
      </c>
      <c r="G54" s="154">
        <f>SUMIFS('Plan rashoda za unos u SAP'!$I$3:$I$501,'Plan rashoda za unos u SAP'!$C$3:$C$501,"=43",'Plan rashoda za unos u SAP'!$M$3:$M$501,"=451")</f>
        <v>0</v>
      </c>
      <c r="H54" s="154">
        <f>SUMIFS('Plan rashoda za unos u SAP'!$I$3:$I$501,'Plan rashoda za unos u SAP'!$C$3:$C$501,"=51",'Plan rashoda za unos u SAP'!$M$3:$M$501,"=451")</f>
        <v>0</v>
      </c>
      <c r="I54" s="154">
        <f>SUMIFS('Plan rashoda za unos u SAP'!$I$3:$I$501,'Plan rashoda za unos u SAP'!$C$3:$C$501,"=52",'Plan rashoda za unos u SAP'!$M$3:$M$501,"=451")</f>
        <v>0</v>
      </c>
      <c r="J54" s="154">
        <f>SUMIFS('Plan rashoda za unos u SAP'!$I$3:$I$501,'Plan rashoda za unos u SAP'!$C$3:$C$501,"=559",'Plan rashoda za unos u SAP'!$M$3:$M$501,"=451")</f>
        <v>0</v>
      </c>
      <c r="K54" s="154">
        <f>SUMIFS('Plan rashoda za unos u SAP'!$I$3:$I$501,'Plan rashoda za unos u SAP'!$C$3:$C$501,"=561",'Plan rashoda za unos u SAP'!$M$3:$M$501,"=451")</f>
        <v>0</v>
      </c>
      <c r="L54" s="154">
        <f>SUMIFS('Plan rashoda za unos u SAP'!$I$3:$I$501,'Plan rashoda za unos u SAP'!$C$3:$C$501,"=563",'Plan rashoda za unos u SAP'!$M$3:$M$501,"=451")</f>
        <v>0</v>
      </c>
      <c r="M54" s="154">
        <f>SUMIFS('Plan rashoda za unos u SAP'!$I$3:$I$501,'Plan rashoda za unos u SAP'!$C$3:$C$501,"=61",'Plan rashoda za unos u SAP'!$M$3:$M$501,"=451")</f>
        <v>0</v>
      </c>
      <c r="N54" s="154">
        <f>SUMIFS('Plan rashoda za unos u SAP'!$I$3:$I$501,'Plan rashoda za unos u SAP'!$C$3:$C$501,"=63",'Plan rashoda za unos u SAP'!$M$3:$M$501,"=451")</f>
        <v>0</v>
      </c>
      <c r="O54" s="154">
        <f>SUMIFS('Plan rashoda za unos u SAP'!$I$3:$I$501,'Plan rashoda za unos u SAP'!$C$3:$C$501,"=71",'Plan rashoda za unos u SAP'!$M$3:$M$501,"=451")</f>
        <v>0</v>
      </c>
      <c r="P54" s="154">
        <f>SUMIFS('Plan rashoda za unos u SAP'!$I$3:$I$501,'Plan rashoda za unos u SAP'!$C$3:$C$501,"=81",'Plan rashoda za unos u SAP'!$M$3:$M$501,"=451")</f>
        <v>0</v>
      </c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3"/>
      <c r="GF54" s="133"/>
      <c r="GG54" s="133"/>
      <c r="GH54" s="133"/>
      <c r="GI54" s="133"/>
      <c r="GJ54" s="133"/>
      <c r="GK54" s="133"/>
      <c r="GL54" s="133"/>
      <c r="GM54" s="133"/>
      <c r="GN54" s="133"/>
      <c r="GO54" s="133"/>
      <c r="GP54" s="133"/>
      <c r="GQ54" s="133"/>
      <c r="GR54" s="133"/>
      <c r="GS54" s="133"/>
      <c r="GT54" s="133"/>
      <c r="GU54" s="133"/>
      <c r="GV54" s="133"/>
      <c r="GW54" s="133"/>
      <c r="GX54" s="133"/>
      <c r="GY54" s="133"/>
      <c r="GZ54" s="133"/>
      <c r="HA54" s="133"/>
      <c r="HB54" s="133"/>
      <c r="HC54" s="133"/>
      <c r="HD54" s="133"/>
      <c r="HE54" s="133"/>
      <c r="HF54" s="133"/>
      <c r="HG54" s="133"/>
      <c r="HH54" s="133"/>
      <c r="HI54" s="133"/>
      <c r="HJ54" s="133"/>
      <c r="HK54" s="133"/>
      <c r="HL54" s="133"/>
      <c r="HM54" s="133"/>
      <c r="HN54" s="133"/>
      <c r="HO54" s="133"/>
      <c r="HP54" s="133"/>
      <c r="HQ54" s="133"/>
      <c r="HR54" s="133"/>
      <c r="HS54" s="133"/>
      <c r="HT54" s="133"/>
      <c r="HU54" s="133"/>
      <c r="HV54" s="133"/>
      <c r="HW54" s="133"/>
      <c r="HX54" s="133"/>
      <c r="HY54" s="133"/>
      <c r="HZ54" s="133"/>
      <c r="IA54" s="133"/>
      <c r="IB54" s="133"/>
      <c r="IC54" s="133"/>
      <c r="ID54" s="133"/>
      <c r="IE54" s="133"/>
      <c r="IF54" s="133"/>
      <c r="IG54" s="133"/>
      <c r="IH54" s="133"/>
      <c r="II54" s="133"/>
      <c r="IJ54" s="133"/>
      <c r="IK54" s="133"/>
      <c r="IL54" s="133"/>
      <c r="IM54" s="133"/>
      <c r="IN54" s="133"/>
      <c r="IO54" s="133"/>
      <c r="IP54" s="133"/>
      <c r="IQ54" s="133"/>
      <c r="IR54" s="133"/>
      <c r="IS54" s="133"/>
      <c r="IT54" s="133"/>
      <c r="IU54" s="133"/>
      <c r="IV54" s="133"/>
    </row>
    <row r="55" spans="1:256" s="167" customFormat="1" ht="12.6" customHeight="1">
      <c r="A55" s="155">
        <v>452</v>
      </c>
      <c r="B55" s="156" t="s">
        <v>741</v>
      </c>
      <c r="C55" s="94">
        <f t="shared" si="10"/>
        <v>0</v>
      </c>
      <c r="D55" s="154">
        <f>SUMIFS('Plan rashoda za unos u SAP'!$I$3:$I$501,'Plan rashoda za unos u SAP'!$C$3:$C$501,"=11",'Plan rashoda za unos u SAP'!$M$3:$M$501,"=452")</f>
        <v>0</v>
      </c>
      <c r="E55" s="154">
        <f>SUMIFS('Plan rashoda za unos u SAP'!$I$3:$I$501,'Plan rashoda za unos u SAP'!$C$3:$C$501,"=12",'Plan rashoda za unos u SAP'!$M$3:$M$501,"=452")</f>
        <v>0</v>
      </c>
      <c r="F55" s="154">
        <f>SUMIFS('Plan rashoda za unos u SAP'!$I$3:$I$501,'Plan rashoda za unos u SAP'!$C$3:$C$501,"=31",'Plan rashoda za unos u SAP'!$M$3:$M$501,"=452")</f>
        <v>0</v>
      </c>
      <c r="G55" s="154">
        <f>SUMIFS('Plan rashoda za unos u SAP'!$I$3:$I$501,'Plan rashoda za unos u SAP'!$C$3:$C$501,"=43",'Plan rashoda za unos u SAP'!$M$3:$M$501,"=452")</f>
        <v>0</v>
      </c>
      <c r="H55" s="154">
        <f>SUMIFS('Plan rashoda za unos u SAP'!$I$3:$I$501,'Plan rashoda za unos u SAP'!$C$3:$C$501,"=51",'Plan rashoda za unos u SAP'!$M$3:$M$501,"=452")</f>
        <v>0</v>
      </c>
      <c r="I55" s="154">
        <f>SUMIFS('Plan rashoda za unos u SAP'!$I$3:$I$501,'Plan rashoda za unos u SAP'!$C$3:$C$501,"=52",'Plan rashoda za unos u SAP'!$M$3:$M$501,"=452")</f>
        <v>0</v>
      </c>
      <c r="J55" s="154">
        <f>SUMIFS('Plan rashoda za unos u SAP'!$I$3:$I$501,'Plan rashoda za unos u SAP'!$C$3:$C$501,"=559",'Plan rashoda za unos u SAP'!$M$3:$M$501,"=452")</f>
        <v>0</v>
      </c>
      <c r="K55" s="154">
        <f>SUMIFS('Plan rashoda za unos u SAP'!$I$3:$I$501,'Plan rashoda za unos u SAP'!$C$3:$C$501,"=561",'Plan rashoda za unos u SAP'!$M$3:$M$501,"=452")</f>
        <v>0</v>
      </c>
      <c r="L55" s="154">
        <f>SUMIFS('Plan rashoda za unos u SAP'!$I$3:$I$501,'Plan rashoda za unos u SAP'!$C$3:$C$501,"=563",'Plan rashoda za unos u SAP'!$M$3:$M$501,"=452")</f>
        <v>0</v>
      </c>
      <c r="M55" s="154">
        <f>SUMIFS('Plan rashoda za unos u SAP'!$I$3:$I$501,'Plan rashoda za unos u SAP'!$C$3:$C$501,"=61",'Plan rashoda za unos u SAP'!$M$3:$M$501,"=452")</f>
        <v>0</v>
      </c>
      <c r="N55" s="154">
        <f>SUMIFS('Plan rashoda za unos u SAP'!$I$3:$I$501,'Plan rashoda za unos u SAP'!$C$3:$C$501,"=63",'Plan rashoda za unos u SAP'!$M$3:$M$501,"=452")</f>
        <v>0</v>
      </c>
      <c r="O55" s="154">
        <f>SUMIFS('Plan rashoda za unos u SAP'!$I$3:$I$501,'Plan rashoda za unos u SAP'!$C$3:$C$501,"=71",'Plan rashoda za unos u SAP'!$M$3:$M$501,"=452")</f>
        <v>0</v>
      </c>
      <c r="P55" s="154">
        <f>SUMIFS('Plan rashoda za unos u SAP'!$I$3:$I$501,'Plan rashoda za unos u SAP'!$C$3:$C$501,"=81",'Plan rashoda za unos u SAP'!$M$3:$M$501,"=452")</f>
        <v>0</v>
      </c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2"/>
      <c r="CK55" s="132"/>
      <c r="CL55" s="132"/>
      <c r="CM55" s="132"/>
      <c r="CN55" s="132"/>
      <c r="CO55" s="132"/>
      <c r="CP55" s="132"/>
      <c r="CQ55" s="132"/>
      <c r="CR55" s="132"/>
      <c r="CS55" s="132"/>
      <c r="CT55" s="132"/>
      <c r="CU55" s="132"/>
      <c r="CV55" s="132"/>
      <c r="CW55" s="132"/>
      <c r="CX55" s="132"/>
      <c r="CY55" s="132"/>
      <c r="CZ55" s="132"/>
      <c r="DA55" s="132"/>
      <c r="DB55" s="132"/>
      <c r="DC55" s="132"/>
      <c r="DD55" s="132"/>
      <c r="DE55" s="132"/>
      <c r="DF55" s="132"/>
      <c r="DG55" s="132"/>
      <c r="DH55" s="132"/>
      <c r="DI55" s="132"/>
      <c r="DJ55" s="132"/>
      <c r="DK55" s="132"/>
      <c r="DL55" s="132"/>
      <c r="DM55" s="132"/>
      <c r="DN55" s="132"/>
      <c r="DO55" s="132"/>
      <c r="DP55" s="132"/>
      <c r="DQ55" s="132"/>
      <c r="DR55" s="132"/>
      <c r="DS55" s="132"/>
      <c r="DT55" s="132"/>
      <c r="DU55" s="132"/>
      <c r="DV55" s="132"/>
      <c r="DW55" s="132"/>
      <c r="DX55" s="132"/>
      <c r="DY55" s="132"/>
      <c r="DZ55" s="132"/>
      <c r="EA55" s="132"/>
      <c r="EB55" s="132"/>
      <c r="EC55" s="132"/>
      <c r="ED55" s="132"/>
      <c r="EE55" s="132"/>
      <c r="EF55" s="132"/>
      <c r="EG55" s="132"/>
      <c r="EH55" s="132"/>
      <c r="EI55" s="132"/>
      <c r="EJ55" s="132"/>
      <c r="EK55" s="132"/>
      <c r="EL55" s="132"/>
      <c r="EM55" s="132"/>
      <c r="EN55" s="132"/>
      <c r="EO55" s="132"/>
      <c r="EP55" s="132"/>
      <c r="EQ55" s="132"/>
      <c r="ER55" s="132"/>
      <c r="ES55" s="132"/>
      <c r="ET55" s="132"/>
      <c r="EU55" s="132"/>
      <c r="EV55" s="132"/>
      <c r="EW55" s="132"/>
      <c r="EX55" s="132"/>
      <c r="EY55" s="132"/>
      <c r="EZ55" s="132"/>
      <c r="FA55" s="132"/>
      <c r="FB55" s="132"/>
      <c r="FC55" s="132"/>
      <c r="FD55" s="132"/>
      <c r="FE55" s="132"/>
      <c r="FF55" s="132"/>
      <c r="FG55" s="132"/>
      <c r="FH55" s="132"/>
      <c r="FI55" s="132"/>
      <c r="FJ55" s="132"/>
      <c r="FK55" s="132"/>
      <c r="FL55" s="132"/>
      <c r="FM55" s="132"/>
      <c r="FN55" s="132"/>
      <c r="FO55" s="132"/>
      <c r="FP55" s="132"/>
      <c r="FQ55" s="132"/>
      <c r="FR55" s="132"/>
      <c r="FS55" s="132"/>
      <c r="FT55" s="132"/>
      <c r="FU55" s="132"/>
      <c r="FV55" s="132"/>
      <c r="FW55" s="132"/>
      <c r="FX55" s="132"/>
      <c r="FY55" s="132"/>
      <c r="FZ55" s="132"/>
      <c r="GA55" s="132"/>
      <c r="GB55" s="132"/>
      <c r="GC55" s="132"/>
      <c r="GD55" s="132"/>
      <c r="GE55" s="133"/>
      <c r="GF55" s="133"/>
      <c r="GG55" s="133"/>
      <c r="GH55" s="133"/>
      <c r="GI55" s="133"/>
      <c r="GJ55" s="133"/>
      <c r="GK55" s="133"/>
      <c r="GL55" s="133"/>
      <c r="GM55" s="133"/>
      <c r="GN55" s="133"/>
      <c r="GO55" s="133"/>
      <c r="GP55" s="133"/>
      <c r="GQ55" s="133"/>
      <c r="GR55" s="133"/>
      <c r="GS55" s="133"/>
      <c r="GT55" s="133"/>
      <c r="GU55" s="133"/>
      <c r="GV55" s="133"/>
      <c r="GW55" s="133"/>
      <c r="GX55" s="133"/>
      <c r="GY55" s="133"/>
      <c r="GZ55" s="133"/>
      <c r="HA55" s="133"/>
      <c r="HB55" s="133"/>
      <c r="HC55" s="133"/>
      <c r="HD55" s="133"/>
      <c r="HE55" s="133"/>
      <c r="HF55" s="133"/>
      <c r="HG55" s="133"/>
      <c r="HH55" s="133"/>
      <c r="HI55" s="133"/>
      <c r="HJ55" s="133"/>
      <c r="HK55" s="133"/>
      <c r="HL55" s="133"/>
      <c r="HM55" s="133"/>
      <c r="HN55" s="133"/>
      <c r="HO55" s="133"/>
      <c r="HP55" s="133"/>
      <c r="HQ55" s="133"/>
      <c r="HR55" s="133"/>
      <c r="HS55" s="133"/>
      <c r="HT55" s="133"/>
      <c r="HU55" s="133"/>
      <c r="HV55" s="133"/>
      <c r="HW55" s="133"/>
      <c r="HX55" s="133"/>
      <c r="HY55" s="133"/>
      <c r="HZ55" s="133"/>
      <c r="IA55" s="133"/>
      <c r="IB55" s="133"/>
      <c r="IC55" s="133"/>
      <c r="ID55" s="133"/>
      <c r="IE55" s="133"/>
      <c r="IF55" s="133"/>
      <c r="IG55" s="133"/>
      <c r="IH55" s="133"/>
      <c r="II55" s="133"/>
      <c r="IJ55" s="133"/>
      <c r="IK55" s="133"/>
      <c r="IL55" s="133"/>
      <c r="IM55" s="133"/>
      <c r="IN55" s="133"/>
      <c r="IO55" s="133"/>
      <c r="IP55" s="133"/>
      <c r="IQ55" s="133"/>
      <c r="IR55" s="133"/>
      <c r="IS55" s="133"/>
      <c r="IT55" s="133"/>
      <c r="IU55" s="133"/>
      <c r="IV55" s="133"/>
    </row>
    <row r="56" spans="1:256" s="167" customFormat="1" ht="12.6" customHeight="1">
      <c r="A56" s="155">
        <v>453</v>
      </c>
      <c r="B56" s="156" t="s">
        <v>742</v>
      </c>
      <c r="C56" s="94">
        <f t="shared" si="10"/>
        <v>0</v>
      </c>
      <c r="D56" s="154">
        <f>SUMIFS('Plan rashoda za unos u SAP'!$I$3:$I$501,'Plan rashoda za unos u SAP'!$C$3:$C$501,"=11",'Plan rashoda za unos u SAP'!$M$3:$M$501,"=453")</f>
        <v>0</v>
      </c>
      <c r="E56" s="154">
        <f>SUMIFS('Plan rashoda za unos u SAP'!$I$3:$I$501,'Plan rashoda za unos u SAP'!$C$3:$C$501,"=12",'Plan rashoda za unos u SAP'!$M$3:$M$501,"=453")</f>
        <v>0</v>
      </c>
      <c r="F56" s="154">
        <f>SUMIFS('Plan rashoda za unos u SAP'!$I$3:$I$501,'Plan rashoda za unos u SAP'!$C$3:$C$501,"=31",'Plan rashoda za unos u SAP'!$M$3:$M$501,"=453")</f>
        <v>0</v>
      </c>
      <c r="G56" s="154">
        <f>SUMIFS('Plan rashoda za unos u SAP'!$I$3:$I$501,'Plan rashoda za unos u SAP'!$C$3:$C$501,"=43",'Plan rashoda za unos u SAP'!$M$3:$M$501,"=453")</f>
        <v>0</v>
      </c>
      <c r="H56" s="154">
        <f>SUMIFS('Plan rashoda za unos u SAP'!$I$3:$I$501,'Plan rashoda za unos u SAP'!$C$3:$C$501,"=51",'Plan rashoda za unos u SAP'!$M$3:$M$501,"=453")</f>
        <v>0</v>
      </c>
      <c r="I56" s="154">
        <f>SUMIFS('Plan rashoda za unos u SAP'!$I$3:$I$501,'Plan rashoda za unos u SAP'!$C$3:$C$501,"=52",'Plan rashoda za unos u SAP'!$M$3:$M$501,"=453")</f>
        <v>0</v>
      </c>
      <c r="J56" s="154">
        <f>SUMIFS('Plan rashoda za unos u SAP'!$I$3:$I$501,'Plan rashoda za unos u SAP'!$C$3:$C$501,"=559",'Plan rashoda za unos u SAP'!$M$3:$M$501,"=453")</f>
        <v>0</v>
      </c>
      <c r="K56" s="154">
        <f>SUMIFS('Plan rashoda za unos u SAP'!$I$3:$I$501,'Plan rashoda za unos u SAP'!$C$3:$C$501,"=561",'Plan rashoda za unos u SAP'!$M$3:$M$501,"=453")</f>
        <v>0</v>
      </c>
      <c r="L56" s="154">
        <f>SUMIFS('Plan rashoda za unos u SAP'!$I$3:$I$501,'Plan rashoda za unos u SAP'!$C$3:$C$501,"=563",'Plan rashoda za unos u SAP'!$M$3:$M$501,"=453")</f>
        <v>0</v>
      </c>
      <c r="M56" s="154">
        <f>SUMIFS('Plan rashoda za unos u SAP'!$I$3:$I$501,'Plan rashoda za unos u SAP'!$C$3:$C$501,"=61",'Plan rashoda za unos u SAP'!$M$3:$M$501,"=453")</f>
        <v>0</v>
      </c>
      <c r="N56" s="154">
        <f>SUMIFS('Plan rashoda za unos u SAP'!$I$3:$I$501,'Plan rashoda za unos u SAP'!$C$3:$C$501,"=63",'Plan rashoda za unos u SAP'!$M$3:$M$501,"=453")</f>
        <v>0</v>
      </c>
      <c r="O56" s="154">
        <f>SUMIFS('Plan rashoda za unos u SAP'!$I$3:$I$501,'Plan rashoda za unos u SAP'!$C$3:$C$501,"=71",'Plan rashoda za unos u SAP'!$M$3:$M$501,"=453")</f>
        <v>0</v>
      </c>
      <c r="P56" s="154">
        <f>SUMIFS('Plan rashoda za unos u SAP'!$I$3:$I$501,'Plan rashoda za unos u SAP'!$C$3:$C$501,"=81",'Plan rashoda za unos u SAP'!$M$3:$M$501,"=453")</f>
        <v>0</v>
      </c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  <c r="BZ56" s="132"/>
      <c r="CA56" s="132"/>
      <c r="CB56" s="132"/>
      <c r="CC56" s="132"/>
      <c r="CD56" s="132"/>
      <c r="CE56" s="132"/>
      <c r="CF56" s="132"/>
      <c r="CG56" s="132"/>
      <c r="CH56" s="132"/>
      <c r="CI56" s="132"/>
      <c r="CJ56" s="132"/>
      <c r="CK56" s="132"/>
      <c r="CL56" s="132"/>
      <c r="CM56" s="132"/>
      <c r="CN56" s="132"/>
      <c r="CO56" s="132"/>
      <c r="CP56" s="132"/>
      <c r="CQ56" s="132"/>
      <c r="CR56" s="132"/>
      <c r="CS56" s="132"/>
      <c r="CT56" s="132"/>
      <c r="CU56" s="132"/>
      <c r="CV56" s="132"/>
      <c r="CW56" s="132"/>
      <c r="CX56" s="132"/>
      <c r="CY56" s="132"/>
      <c r="CZ56" s="132"/>
      <c r="DA56" s="132"/>
      <c r="DB56" s="132"/>
      <c r="DC56" s="132"/>
      <c r="DD56" s="132"/>
      <c r="DE56" s="132"/>
      <c r="DF56" s="132"/>
      <c r="DG56" s="132"/>
      <c r="DH56" s="132"/>
      <c r="DI56" s="132"/>
      <c r="DJ56" s="132"/>
      <c r="DK56" s="132"/>
      <c r="DL56" s="132"/>
      <c r="DM56" s="132"/>
      <c r="DN56" s="132"/>
      <c r="DO56" s="132"/>
      <c r="DP56" s="132"/>
      <c r="DQ56" s="132"/>
      <c r="DR56" s="132"/>
      <c r="DS56" s="132"/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2"/>
      <c r="EE56" s="132"/>
      <c r="EF56" s="132"/>
      <c r="EG56" s="132"/>
      <c r="EH56" s="132"/>
      <c r="EI56" s="132"/>
      <c r="EJ56" s="132"/>
      <c r="EK56" s="132"/>
      <c r="EL56" s="132"/>
      <c r="EM56" s="132"/>
      <c r="EN56" s="132"/>
      <c r="EO56" s="132"/>
      <c r="EP56" s="132"/>
      <c r="EQ56" s="132"/>
      <c r="ER56" s="132"/>
      <c r="ES56" s="132"/>
      <c r="ET56" s="132"/>
      <c r="EU56" s="132"/>
      <c r="EV56" s="132"/>
      <c r="EW56" s="132"/>
      <c r="EX56" s="132"/>
      <c r="EY56" s="132"/>
      <c r="EZ56" s="132"/>
      <c r="FA56" s="132"/>
      <c r="FB56" s="132"/>
      <c r="FC56" s="132"/>
      <c r="FD56" s="132"/>
      <c r="FE56" s="132"/>
      <c r="FF56" s="132"/>
      <c r="FG56" s="132"/>
      <c r="FH56" s="132"/>
      <c r="FI56" s="132"/>
      <c r="FJ56" s="132"/>
      <c r="FK56" s="132"/>
      <c r="FL56" s="132"/>
      <c r="FM56" s="132"/>
      <c r="FN56" s="132"/>
      <c r="FO56" s="132"/>
      <c r="FP56" s="132"/>
      <c r="FQ56" s="132"/>
      <c r="FR56" s="132"/>
      <c r="FS56" s="132"/>
      <c r="FT56" s="132"/>
      <c r="FU56" s="132"/>
      <c r="FV56" s="132"/>
      <c r="FW56" s="132"/>
      <c r="FX56" s="132"/>
      <c r="FY56" s="132"/>
      <c r="FZ56" s="132"/>
      <c r="GA56" s="132"/>
      <c r="GB56" s="132"/>
      <c r="GC56" s="132"/>
      <c r="GD56" s="132"/>
      <c r="GE56" s="133"/>
      <c r="GF56" s="133"/>
      <c r="GG56" s="133"/>
      <c r="GH56" s="133"/>
      <c r="GI56" s="133"/>
      <c r="GJ56" s="133"/>
      <c r="GK56" s="133"/>
      <c r="GL56" s="133"/>
      <c r="GM56" s="133"/>
      <c r="GN56" s="133"/>
      <c r="GO56" s="133"/>
      <c r="GP56" s="133"/>
      <c r="GQ56" s="133"/>
      <c r="GR56" s="133"/>
      <c r="GS56" s="133"/>
      <c r="GT56" s="133"/>
      <c r="GU56" s="133"/>
      <c r="GV56" s="133"/>
      <c r="GW56" s="133"/>
      <c r="GX56" s="133"/>
      <c r="GY56" s="133"/>
      <c r="GZ56" s="133"/>
      <c r="HA56" s="133"/>
      <c r="HB56" s="133"/>
      <c r="HC56" s="133"/>
      <c r="HD56" s="133"/>
      <c r="HE56" s="133"/>
      <c r="HF56" s="133"/>
      <c r="HG56" s="133"/>
      <c r="HH56" s="133"/>
      <c r="HI56" s="133"/>
      <c r="HJ56" s="133"/>
      <c r="HK56" s="133"/>
      <c r="HL56" s="133"/>
      <c r="HM56" s="133"/>
      <c r="HN56" s="133"/>
      <c r="HO56" s="133"/>
      <c r="HP56" s="133"/>
      <c r="HQ56" s="133"/>
      <c r="HR56" s="133"/>
      <c r="HS56" s="133"/>
      <c r="HT56" s="133"/>
      <c r="HU56" s="133"/>
      <c r="HV56" s="133"/>
      <c r="HW56" s="133"/>
      <c r="HX56" s="133"/>
      <c r="HY56" s="133"/>
      <c r="HZ56" s="133"/>
      <c r="IA56" s="133"/>
      <c r="IB56" s="133"/>
      <c r="IC56" s="133"/>
      <c r="ID56" s="133"/>
      <c r="IE56" s="133"/>
      <c r="IF56" s="133"/>
      <c r="IG56" s="133"/>
      <c r="IH56" s="133"/>
      <c r="II56" s="133"/>
      <c r="IJ56" s="133"/>
      <c r="IK56" s="133"/>
      <c r="IL56" s="133"/>
      <c r="IM56" s="133"/>
      <c r="IN56" s="133"/>
      <c r="IO56" s="133"/>
      <c r="IP56" s="133"/>
      <c r="IQ56" s="133"/>
      <c r="IR56" s="133"/>
      <c r="IS56" s="133"/>
      <c r="IT56" s="133"/>
      <c r="IU56" s="133"/>
      <c r="IV56" s="133"/>
    </row>
    <row r="57" spans="1:256" s="167" customFormat="1" ht="12.6" customHeight="1">
      <c r="A57" s="155">
        <v>454</v>
      </c>
      <c r="B57" s="161" t="s">
        <v>743</v>
      </c>
      <c r="C57" s="94">
        <f t="shared" si="10"/>
        <v>0</v>
      </c>
      <c r="D57" s="154">
        <f>SUMIFS('Plan rashoda za unos u SAP'!$I$3:$I$501,'Plan rashoda za unos u SAP'!$C$3:$C$501,"=11",'Plan rashoda za unos u SAP'!$M$3:$M$501,"=454")</f>
        <v>0</v>
      </c>
      <c r="E57" s="154">
        <f>SUMIFS('Plan rashoda za unos u SAP'!$I$3:$I$501,'Plan rashoda za unos u SAP'!$C$3:$C$501,"=12",'Plan rashoda za unos u SAP'!$M$3:$M$501,"=454")</f>
        <v>0</v>
      </c>
      <c r="F57" s="154">
        <f>SUMIFS('Plan rashoda za unos u SAP'!$I$3:$I$501,'Plan rashoda za unos u SAP'!$C$3:$C$501,"=31",'Plan rashoda za unos u SAP'!$M$3:$M$501,"=454")</f>
        <v>0</v>
      </c>
      <c r="G57" s="154">
        <f>SUMIFS('Plan rashoda za unos u SAP'!$I$3:$I$501,'Plan rashoda za unos u SAP'!$C$3:$C$501,"=43",'Plan rashoda za unos u SAP'!$M$3:$M$501,"=454")</f>
        <v>0</v>
      </c>
      <c r="H57" s="154">
        <f>SUMIFS('Plan rashoda za unos u SAP'!$I$3:$I$501,'Plan rashoda za unos u SAP'!$C$3:$C$501,"=51",'Plan rashoda za unos u SAP'!$M$3:$M$501,"=454")</f>
        <v>0</v>
      </c>
      <c r="I57" s="154">
        <f>SUMIFS('Plan rashoda za unos u SAP'!$I$3:$I$501,'Plan rashoda za unos u SAP'!$C$3:$C$501,"=52",'Plan rashoda za unos u SAP'!$M$3:$M$501,"=454")</f>
        <v>0</v>
      </c>
      <c r="J57" s="154">
        <f>SUMIFS('Plan rashoda za unos u SAP'!$I$3:$I$501,'Plan rashoda za unos u SAP'!$C$3:$C$501,"=559",'Plan rashoda za unos u SAP'!$M$3:$M$501,"=454")</f>
        <v>0</v>
      </c>
      <c r="K57" s="154">
        <f>SUMIFS('Plan rashoda za unos u SAP'!$I$3:$I$501,'Plan rashoda za unos u SAP'!$C$3:$C$501,"=561",'Plan rashoda za unos u SAP'!$M$3:$M$501,"=454")</f>
        <v>0</v>
      </c>
      <c r="L57" s="154">
        <f>SUMIFS('Plan rashoda za unos u SAP'!$I$3:$I$501,'Plan rashoda za unos u SAP'!$C$3:$C$501,"=563",'Plan rashoda za unos u SAP'!$M$3:$M$501,"=454")</f>
        <v>0</v>
      </c>
      <c r="M57" s="154">
        <f>SUMIFS('Plan rashoda za unos u SAP'!$I$3:$I$501,'Plan rashoda za unos u SAP'!$C$3:$C$501,"=61",'Plan rashoda za unos u SAP'!$M$3:$M$501,"=454")</f>
        <v>0</v>
      </c>
      <c r="N57" s="154">
        <f>SUMIFS('Plan rashoda za unos u SAP'!$I$3:$I$501,'Plan rashoda za unos u SAP'!$C$3:$C$501,"=63",'Plan rashoda za unos u SAP'!$M$3:$M$501,"=454")</f>
        <v>0</v>
      </c>
      <c r="O57" s="154">
        <f>SUMIFS('Plan rashoda za unos u SAP'!$I$3:$I$501,'Plan rashoda za unos u SAP'!$C$3:$C$501,"=71",'Plan rashoda za unos u SAP'!$M$3:$M$501,"=454")</f>
        <v>0</v>
      </c>
      <c r="P57" s="154">
        <f>SUMIFS('Plan rashoda za unos u SAP'!$I$3:$I$501,'Plan rashoda za unos u SAP'!$C$3:$C$501,"=81",'Plan rashoda za unos u SAP'!$M$3:$M$501,"=454")</f>
        <v>0</v>
      </c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  <c r="CI57" s="132"/>
      <c r="CJ57" s="132"/>
      <c r="CK57" s="132"/>
      <c r="CL57" s="132"/>
      <c r="CM57" s="132"/>
      <c r="CN57" s="132"/>
      <c r="CO57" s="132"/>
      <c r="CP57" s="132"/>
      <c r="CQ57" s="132"/>
      <c r="CR57" s="132"/>
      <c r="CS57" s="132"/>
      <c r="CT57" s="132"/>
      <c r="CU57" s="132"/>
      <c r="CV57" s="132"/>
      <c r="CW57" s="132"/>
      <c r="CX57" s="132"/>
      <c r="CY57" s="132"/>
      <c r="CZ57" s="132"/>
      <c r="DA57" s="132"/>
      <c r="DB57" s="132"/>
      <c r="DC57" s="132"/>
      <c r="DD57" s="132"/>
      <c r="DE57" s="132"/>
      <c r="DF57" s="132"/>
      <c r="DG57" s="132"/>
      <c r="DH57" s="132"/>
      <c r="DI57" s="132"/>
      <c r="DJ57" s="132"/>
      <c r="DK57" s="132"/>
      <c r="DL57" s="132"/>
      <c r="DM57" s="132"/>
      <c r="DN57" s="132"/>
      <c r="DO57" s="132"/>
      <c r="DP57" s="132"/>
      <c r="DQ57" s="132"/>
      <c r="DR57" s="132"/>
      <c r="DS57" s="132"/>
      <c r="DT57" s="132"/>
      <c r="DU57" s="132"/>
      <c r="DV57" s="132"/>
      <c r="DW57" s="132"/>
      <c r="DX57" s="132"/>
      <c r="DY57" s="132"/>
      <c r="DZ57" s="132"/>
      <c r="EA57" s="132"/>
      <c r="EB57" s="132"/>
      <c r="EC57" s="132"/>
      <c r="ED57" s="132"/>
      <c r="EE57" s="132"/>
      <c r="EF57" s="132"/>
      <c r="EG57" s="132"/>
      <c r="EH57" s="132"/>
      <c r="EI57" s="132"/>
      <c r="EJ57" s="132"/>
      <c r="EK57" s="132"/>
      <c r="EL57" s="132"/>
      <c r="EM57" s="132"/>
      <c r="EN57" s="132"/>
      <c r="EO57" s="132"/>
      <c r="EP57" s="132"/>
      <c r="EQ57" s="132"/>
      <c r="ER57" s="132"/>
      <c r="ES57" s="132"/>
      <c r="ET57" s="132"/>
      <c r="EU57" s="132"/>
      <c r="EV57" s="132"/>
      <c r="EW57" s="132"/>
      <c r="EX57" s="132"/>
      <c r="EY57" s="132"/>
      <c r="EZ57" s="132"/>
      <c r="FA57" s="132"/>
      <c r="FB57" s="132"/>
      <c r="FC57" s="132"/>
      <c r="FD57" s="132"/>
      <c r="FE57" s="132"/>
      <c r="FF57" s="132"/>
      <c r="FG57" s="132"/>
      <c r="FH57" s="132"/>
      <c r="FI57" s="132"/>
      <c r="FJ57" s="132"/>
      <c r="FK57" s="132"/>
      <c r="FL57" s="132"/>
      <c r="FM57" s="132"/>
      <c r="FN57" s="132"/>
      <c r="FO57" s="132"/>
      <c r="FP57" s="132"/>
      <c r="FQ57" s="132"/>
      <c r="FR57" s="132"/>
      <c r="FS57" s="132"/>
      <c r="FT57" s="132"/>
      <c r="FU57" s="132"/>
      <c r="FV57" s="132"/>
      <c r="FW57" s="132"/>
      <c r="FX57" s="132"/>
      <c r="FY57" s="132"/>
      <c r="FZ57" s="132"/>
      <c r="GA57" s="132"/>
      <c r="GB57" s="132"/>
      <c r="GC57" s="132"/>
      <c r="GD57" s="132"/>
      <c r="GE57" s="133"/>
      <c r="GF57" s="133"/>
      <c r="GG57" s="133"/>
      <c r="GH57" s="133"/>
      <c r="GI57" s="133"/>
      <c r="GJ57" s="133"/>
      <c r="GK57" s="133"/>
      <c r="GL57" s="133"/>
      <c r="GM57" s="133"/>
      <c r="GN57" s="133"/>
      <c r="GO57" s="133"/>
      <c r="GP57" s="133"/>
      <c r="GQ57" s="133"/>
      <c r="GR57" s="133"/>
      <c r="GS57" s="133"/>
      <c r="GT57" s="133"/>
      <c r="GU57" s="133"/>
      <c r="GV57" s="133"/>
      <c r="GW57" s="133"/>
      <c r="GX57" s="133"/>
      <c r="GY57" s="133"/>
      <c r="GZ57" s="133"/>
      <c r="HA57" s="133"/>
      <c r="HB57" s="133"/>
      <c r="HC57" s="133"/>
      <c r="HD57" s="133"/>
      <c r="HE57" s="133"/>
      <c r="HF57" s="133"/>
      <c r="HG57" s="133"/>
      <c r="HH57" s="133"/>
      <c r="HI57" s="133"/>
      <c r="HJ57" s="133"/>
      <c r="HK57" s="133"/>
      <c r="HL57" s="133"/>
      <c r="HM57" s="133"/>
      <c r="HN57" s="133"/>
      <c r="HO57" s="133"/>
      <c r="HP57" s="133"/>
      <c r="HQ57" s="133"/>
      <c r="HR57" s="133"/>
      <c r="HS57" s="133"/>
      <c r="HT57" s="133"/>
      <c r="HU57" s="133"/>
      <c r="HV57" s="133"/>
      <c r="HW57" s="133"/>
      <c r="HX57" s="133"/>
      <c r="HY57" s="133"/>
      <c r="HZ57" s="133"/>
      <c r="IA57" s="133"/>
      <c r="IB57" s="133"/>
      <c r="IC57" s="133"/>
      <c r="ID57" s="133"/>
      <c r="IE57" s="133"/>
      <c r="IF57" s="133"/>
      <c r="IG57" s="133"/>
      <c r="IH57" s="133"/>
      <c r="II57" s="133"/>
      <c r="IJ57" s="133"/>
      <c r="IK57" s="133"/>
      <c r="IL57" s="133"/>
      <c r="IM57" s="133"/>
      <c r="IN57" s="133"/>
      <c r="IO57" s="133"/>
      <c r="IP57" s="133"/>
      <c r="IQ57" s="133"/>
      <c r="IR57" s="133"/>
      <c r="IS57" s="133"/>
      <c r="IT57" s="133"/>
      <c r="IU57" s="133"/>
      <c r="IV57" s="133"/>
    </row>
    <row r="58" spans="1:256" s="144" customFormat="1" ht="12.6" customHeight="1">
      <c r="A58" s="140">
        <v>5</v>
      </c>
      <c r="B58" s="141" t="s">
        <v>109</v>
      </c>
      <c r="C58" s="170">
        <f t="shared" si="10"/>
        <v>0</v>
      </c>
      <c r="D58" s="143">
        <f t="shared" ref="D58:P58" si="17">+D59+D63</f>
        <v>0</v>
      </c>
      <c r="E58" s="143">
        <f t="shared" si="17"/>
        <v>0</v>
      </c>
      <c r="F58" s="143">
        <f t="shared" si="17"/>
        <v>0</v>
      </c>
      <c r="G58" s="143">
        <f t="shared" si="17"/>
        <v>0</v>
      </c>
      <c r="H58" s="143">
        <f t="shared" si="17"/>
        <v>0</v>
      </c>
      <c r="I58" s="143">
        <f t="shared" si="17"/>
        <v>0</v>
      </c>
      <c r="J58" s="143">
        <f t="shared" si="17"/>
        <v>0</v>
      </c>
      <c r="K58" s="143">
        <f t="shared" si="17"/>
        <v>0</v>
      </c>
      <c r="L58" s="143">
        <f t="shared" si="17"/>
        <v>0</v>
      </c>
      <c r="M58" s="143">
        <f t="shared" si="17"/>
        <v>0</v>
      </c>
      <c r="N58" s="143">
        <f t="shared" si="17"/>
        <v>0</v>
      </c>
      <c r="O58" s="143">
        <f t="shared" si="17"/>
        <v>0</v>
      </c>
      <c r="P58" s="143">
        <f t="shared" si="17"/>
        <v>0</v>
      </c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132"/>
      <c r="CI58" s="132"/>
      <c r="CJ58" s="132"/>
      <c r="CK58" s="132"/>
      <c r="CL58" s="132"/>
      <c r="CM58" s="132"/>
      <c r="CN58" s="132"/>
      <c r="CO58" s="132"/>
      <c r="CP58" s="132"/>
      <c r="CQ58" s="132"/>
      <c r="CR58" s="132"/>
      <c r="CS58" s="132"/>
      <c r="CT58" s="132"/>
      <c r="CU58" s="132"/>
      <c r="CV58" s="132"/>
      <c r="CW58" s="132"/>
      <c r="CX58" s="132"/>
      <c r="CY58" s="132"/>
      <c r="CZ58" s="132"/>
      <c r="DA58" s="132"/>
      <c r="DB58" s="132"/>
      <c r="DC58" s="132"/>
      <c r="DD58" s="132"/>
      <c r="DE58" s="132"/>
      <c r="DF58" s="132"/>
      <c r="DG58" s="132"/>
      <c r="DH58" s="132"/>
      <c r="DI58" s="132"/>
      <c r="DJ58" s="132"/>
      <c r="DK58" s="132"/>
      <c r="DL58" s="132"/>
      <c r="DM58" s="132"/>
      <c r="DN58" s="132"/>
      <c r="DO58" s="132"/>
      <c r="DP58" s="132"/>
      <c r="DQ58" s="132"/>
      <c r="DR58" s="132"/>
      <c r="DS58" s="132"/>
      <c r="DT58" s="132"/>
      <c r="DU58" s="132"/>
      <c r="DV58" s="132"/>
      <c r="DW58" s="132"/>
      <c r="DX58" s="132"/>
      <c r="DY58" s="132"/>
      <c r="DZ58" s="132"/>
      <c r="EA58" s="132"/>
      <c r="EB58" s="132"/>
      <c r="EC58" s="132"/>
      <c r="ED58" s="132"/>
      <c r="EE58" s="132"/>
      <c r="EF58" s="132"/>
      <c r="EG58" s="132"/>
      <c r="EH58" s="132"/>
      <c r="EI58" s="132"/>
      <c r="EJ58" s="132"/>
      <c r="EK58" s="132"/>
      <c r="EL58" s="132"/>
      <c r="EM58" s="132"/>
      <c r="EN58" s="132"/>
      <c r="EO58" s="132"/>
      <c r="EP58" s="132"/>
      <c r="EQ58" s="132"/>
      <c r="ER58" s="132"/>
      <c r="ES58" s="132"/>
      <c r="ET58" s="132"/>
      <c r="EU58" s="132"/>
      <c r="EV58" s="132"/>
      <c r="EW58" s="132"/>
      <c r="EX58" s="132"/>
      <c r="EY58" s="132"/>
      <c r="EZ58" s="132"/>
      <c r="FA58" s="132"/>
      <c r="FB58" s="132"/>
      <c r="FC58" s="132"/>
      <c r="FD58" s="132"/>
      <c r="FE58" s="132"/>
      <c r="FF58" s="132"/>
      <c r="FG58" s="132"/>
      <c r="FH58" s="132"/>
      <c r="FI58" s="132"/>
      <c r="FJ58" s="132"/>
      <c r="FK58" s="132"/>
      <c r="FL58" s="132"/>
      <c r="FM58" s="132"/>
      <c r="FN58" s="132"/>
      <c r="FO58" s="132"/>
      <c r="FP58" s="132"/>
      <c r="FQ58" s="132"/>
      <c r="FR58" s="132"/>
      <c r="FS58" s="132"/>
      <c r="FT58" s="132"/>
      <c r="FU58" s="132"/>
      <c r="FV58" s="132"/>
      <c r="FW58" s="132"/>
      <c r="FX58" s="132"/>
      <c r="FY58" s="132"/>
      <c r="FZ58" s="132"/>
      <c r="GA58" s="132"/>
      <c r="GB58" s="132"/>
      <c r="GC58" s="132"/>
      <c r="GD58" s="132"/>
      <c r="GE58" s="133"/>
      <c r="GF58" s="133"/>
      <c r="GG58" s="133"/>
      <c r="GH58" s="133"/>
      <c r="GI58" s="133"/>
      <c r="GJ58" s="133"/>
      <c r="GK58" s="133"/>
      <c r="GL58" s="133"/>
      <c r="GM58" s="133"/>
      <c r="GN58" s="133"/>
      <c r="GO58" s="133"/>
      <c r="GP58" s="133"/>
      <c r="GQ58" s="133"/>
      <c r="GR58" s="133"/>
      <c r="GS58" s="133"/>
      <c r="GT58" s="133"/>
      <c r="GU58" s="133"/>
      <c r="GV58" s="133"/>
      <c r="GW58" s="133"/>
      <c r="GX58" s="133"/>
      <c r="GY58" s="133"/>
      <c r="GZ58" s="133"/>
      <c r="HA58" s="133"/>
      <c r="HB58" s="133"/>
      <c r="HC58" s="133"/>
      <c r="HD58" s="133"/>
      <c r="HE58" s="133"/>
      <c r="HF58" s="133"/>
      <c r="HG58" s="133"/>
      <c r="HH58" s="133"/>
      <c r="HI58" s="133"/>
      <c r="HJ58" s="133"/>
      <c r="HK58" s="133"/>
      <c r="HL58" s="133"/>
      <c r="HM58" s="133"/>
      <c r="HN58" s="133"/>
      <c r="HO58" s="133"/>
      <c r="HP58" s="133"/>
      <c r="HQ58" s="133"/>
      <c r="HR58" s="133"/>
      <c r="HS58" s="133"/>
      <c r="HT58" s="133"/>
      <c r="HU58" s="133"/>
      <c r="HV58" s="133"/>
      <c r="HW58" s="133"/>
      <c r="HX58" s="133"/>
      <c r="HY58" s="133"/>
      <c r="HZ58" s="133"/>
      <c r="IA58" s="133"/>
      <c r="IB58" s="133"/>
      <c r="IC58" s="133"/>
      <c r="ID58" s="133"/>
      <c r="IE58" s="133"/>
      <c r="IF58" s="133"/>
      <c r="IG58" s="133"/>
      <c r="IH58" s="133"/>
      <c r="II58" s="133"/>
      <c r="IJ58" s="133"/>
      <c r="IK58" s="133"/>
      <c r="IL58" s="133"/>
      <c r="IM58" s="133"/>
      <c r="IN58" s="133"/>
      <c r="IO58" s="133"/>
      <c r="IP58" s="133"/>
      <c r="IQ58" s="133"/>
      <c r="IR58" s="133"/>
      <c r="IS58" s="133"/>
      <c r="IT58" s="133"/>
      <c r="IU58" s="133"/>
      <c r="IV58" s="133"/>
    </row>
    <row r="59" spans="1:256" s="151" customFormat="1" ht="12.6" customHeight="1">
      <c r="A59" s="145">
        <v>51</v>
      </c>
      <c r="B59" s="146" t="s">
        <v>880</v>
      </c>
      <c r="C59" s="147">
        <f t="shared" si="10"/>
        <v>0</v>
      </c>
      <c r="D59" s="148">
        <f>+D60</f>
        <v>0</v>
      </c>
      <c r="E59" s="148">
        <f>+E60</f>
        <v>0</v>
      </c>
      <c r="F59" s="148">
        <f>+F60</f>
        <v>0</v>
      </c>
      <c r="G59" s="148">
        <f>+G60</f>
        <v>0</v>
      </c>
      <c r="H59" s="148">
        <f t="shared" ref="H59:P59" si="18">SUM(H60:H62)</f>
        <v>0</v>
      </c>
      <c r="I59" s="148">
        <f t="shared" si="18"/>
        <v>0</v>
      </c>
      <c r="J59" s="148">
        <f t="shared" si="18"/>
        <v>0</v>
      </c>
      <c r="K59" s="148">
        <f t="shared" si="18"/>
        <v>0</v>
      </c>
      <c r="L59" s="148">
        <f t="shared" si="18"/>
        <v>0</v>
      </c>
      <c r="M59" s="148">
        <f t="shared" si="18"/>
        <v>0</v>
      </c>
      <c r="N59" s="148">
        <f t="shared" si="18"/>
        <v>0</v>
      </c>
      <c r="O59" s="148">
        <f t="shared" si="18"/>
        <v>0</v>
      </c>
      <c r="P59" s="148">
        <f t="shared" si="18"/>
        <v>0</v>
      </c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  <c r="CM59" s="149"/>
      <c r="CN59" s="149"/>
      <c r="CO59" s="149"/>
      <c r="CP59" s="149"/>
      <c r="CQ59" s="149"/>
      <c r="CR59" s="149"/>
      <c r="CS59" s="149"/>
      <c r="CT59" s="149"/>
      <c r="CU59" s="149"/>
      <c r="CV59" s="149"/>
      <c r="CW59" s="149"/>
      <c r="CX59" s="149"/>
      <c r="CY59" s="149"/>
      <c r="CZ59" s="149"/>
      <c r="DA59" s="149"/>
      <c r="DB59" s="149"/>
      <c r="DC59" s="149"/>
      <c r="DD59" s="149"/>
      <c r="DE59" s="149"/>
      <c r="DF59" s="149"/>
      <c r="DG59" s="149"/>
      <c r="DH59" s="149"/>
      <c r="DI59" s="149"/>
      <c r="DJ59" s="149"/>
      <c r="DK59" s="149"/>
      <c r="DL59" s="149"/>
      <c r="DM59" s="149"/>
      <c r="DN59" s="149"/>
      <c r="DO59" s="149"/>
      <c r="DP59" s="149"/>
      <c r="DQ59" s="149"/>
      <c r="DR59" s="149"/>
      <c r="DS59" s="149"/>
      <c r="DT59" s="149"/>
      <c r="DU59" s="149"/>
      <c r="DV59" s="149"/>
      <c r="DW59" s="149"/>
      <c r="DX59" s="149"/>
      <c r="DY59" s="149"/>
      <c r="DZ59" s="149"/>
      <c r="EA59" s="149"/>
      <c r="EB59" s="149"/>
      <c r="EC59" s="149"/>
      <c r="ED59" s="149"/>
      <c r="EE59" s="149"/>
      <c r="EF59" s="149"/>
      <c r="EG59" s="149"/>
      <c r="EH59" s="149"/>
      <c r="EI59" s="149"/>
      <c r="EJ59" s="149"/>
      <c r="EK59" s="149"/>
      <c r="EL59" s="149"/>
      <c r="EM59" s="149"/>
      <c r="EN59" s="149"/>
      <c r="EO59" s="149"/>
      <c r="EP59" s="149"/>
      <c r="EQ59" s="149"/>
      <c r="ER59" s="149"/>
      <c r="ES59" s="149"/>
      <c r="ET59" s="149"/>
      <c r="EU59" s="149"/>
      <c r="EV59" s="149"/>
      <c r="EW59" s="149"/>
      <c r="EX59" s="149"/>
      <c r="EY59" s="149"/>
      <c r="EZ59" s="149"/>
      <c r="FA59" s="149"/>
      <c r="FB59" s="149"/>
      <c r="FC59" s="149"/>
      <c r="FD59" s="149"/>
      <c r="FE59" s="149"/>
      <c r="FF59" s="149"/>
      <c r="FG59" s="149"/>
      <c r="FH59" s="149"/>
      <c r="FI59" s="149"/>
      <c r="FJ59" s="149"/>
      <c r="FK59" s="149"/>
      <c r="FL59" s="149"/>
      <c r="FM59" s="149"/>
      <c r="FN59" s="149"/>
      <c r="FO59" s="149"/>
      <c r="FP59" s="149"/>
      <c r="FQ59" s="149"/>
      <c r="FR59" s="149"/>
      <c r="FS59" s="149"/>
      <c r="FT59" s="149"/>
      <c r="FU59" s="149"/>
      <c r="FV59" s="149"/>
      <c r="FW59" s="149"/>
      <c r="FX59" s="149"/>
      <c r="FY59" s="149"/>
      <c r="FZ59" s="149"/>
      <c r="GA59" s="149"/>
      <c r="GB59" s="149"/>
      <c r="GC59" s="149"/>
      <c r="GD59" s="149"/>
      <c r="GE59" s="150"/>
      <c r="GF59" s="150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  <c r="IK59" s="150"/>
      <c r="IL59" s="150"/>
      <c r="IM59" s="150"/>
      <c r="IN59" s="150"/>
      <c r="IO59" s="150"/>
      <c r="IP59" s="150"/>
      <c r="IQ59" s="150"/>
      <c r="IR59" s="150"/>
      <c r="IS59" s="150"/>
      <c r="IT59" s="150"/>
      <c r="IU59" s="150"/>
      <c r="IV59" s="150"/>
    </row>
    <row r="60" spans="1:256" s="151" customFormat="1" ht="12.6" customHeight="1">
      <c r="A60" s="171">
        <v>512</v>
      </c>
      <c r="B60" s="152" t="s">
        <v>881</v>
      </c>
      <c r="C60" s="147">
        <f t="shared" si="10"/>
        <v>0</v>
      </c>
      <c r="D60" s="154">
        <f>SUMIFS('Plan rashoda za unos u SAP'!$I$3:$I$501,'Plan rashoda za unos u SAP'!$C$3:$C$501,"=11",'Plan rashoda za unos u SAP'!$M$3:$M$501,"=512")</f>
        <v>0</v>
      </c>
      <c r="E60" s="154">
        <f>SUMIFS('Plan rashoda za unos u SAP'!$I$3:$I$501,'Plan rashoda za unos u SAP'!$C$3:$C$501,"=12",'Plan rashoda za unos u SAP'!$M$3:$M$501,"=512")</f>
        <v>0</v>
      </c>
      <c r="F60" s="154">
        <f>SUMIFS('Plan rashoda za unos u SAP'!$I$3:$I$501,'Plan rashoda za unos u SAP'!$C$3:$C$501,"=31",'Plan rashoda za unos u SAP'!$M$3:$M$501,"=512")</f>
        <v>0</v>
      </c>
      <c r="G60" s="154">
        <f>SUMIFS('Plan rashoda za unos u SAP'!$I$3:$I$501,'Plan rashoda za unos u SAP'!$C$3:$C$501,"=43",'Plan rashoda za unos u SAP'!$M$3:$M$501,"=512")</f>
        <v>0</v>
      </c>
      <c r="H60" s="154">
        <f>SUMIFS('Plan rashoda za unos u SAP'!$I$3:$I$501,'Plan rashoda za unos u SAP'!$C$3:$C$501,"=51",'Plan rashoda za unos u SAP'!$M$3:$M$501,"=512")</f>
        <v>0</v>
      </c>
      <c r="I60" s="154">
        <f>SUMIFS('Plan rashoda za unos u SAP'!$I$3:$I$501,'Plan rashoda za unos u SAP'!$C$3:$C$501,"=52",'Plan rashoda za unos u SAP'!$M$3:$M$501,"=512")</f>
        <v>0</v>
      </c>
      <c r="J60" s="154">
        <f>SUMIFS('Plan rashoda za unos u SAP'!$I$3:$I$501,'Plan rashoda za unos u SAP'!$C$3:$C$501,"=559",'Plan rashoda za unos u SAP'!$M$3:$M$501,"=512")</f>
        <v>0</v>
      </c>
      <c r="K60" s="154">
        <f>SUMIFS('Plan rashoda za unos u SAP'!$I$3:$I$501,'Plan rashoda za unos u SAP'!$C$3:$C$501,"=561",'Plan rashoda za unos u SAP'!$M$3:$M$501,"=512")</f>
        <v>0</v>
      </c>
      <c r="L60" s="154">
        <f>SUMIFS('Plan rashoda za unos u SAP'!$I$3:$I$501,'Plan rashoda za unos u SAP'!$C$3:$C$501,"=563",'Plan rashoda za unos u SAP'!$M$3:$M$501,"=512")</f>
        <v>0</v>
      </c>
      <c r="M60" s="154">
        <f>SUMIFS('Plan rashoda za unos u SAP'!$I$3:$I$501,'Plan rashoda za unos u SAP'!$C$3:$C$501,"=61",'Plan rashoda za unos u SAP'!$M$3:$M$501,"=512")</f>
        <v>0</v>
      </c>
      <c r="N60" s="154">
        <f>SUMIFS('Plan rashoda za unos u SAP'!$I$3:$I$501,'Plan rashoda za unos u SAP'!$C$3:$C$501,"=63",'Plan rashoda za unos u SAP'!$M$3:$M$501,"=512")</f>
        <v>0</v>
      </c>
      <c r="O60" s="154">
        <f>SUMIFS('Plan rashoda za unos u SAP'!$I$3:$I$501,'Plan rashoda za unos u SAP'!$C$3:$C$501,"=71",'Plan rashoda za unos u SAP'!$M$3:$M$501,"=512")</f>
        <v>0</v>
      </c>
      <c r="P60" s="154">
        <f>SUMIFS('Plan rashoda za unos u SAP'!$I$3:$I$501,'Plan rashoda za unos u SAP'!$C$3:$C$501,"=81",'Plan rashoda za unos u SAP'!$M$3:$M$501,"=512")</f>
        <v>0</v>
      </c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132"/>
      <c r="CI60" s="132"/>
      <c r="CJ60" s="132"/>
      <c r="CK60" s="132"/>
      <c r="CL60" s="132"/>
      <c r="CM60" s="132"/>
      <c r="CN60" s="132"/>
      <c r="CO60" s="132"/>
      <c r="CP60" s="132"/>
      <c r="CQ60" s="132"/>
      <c r="CR60" s="132"/>
      <c r="CS60" s="132"/>
      <c r="CT60" s="132"/>
      <c r="CU60" s="132"/>
      <c r="CV60" s="132"/>
      <c r="CW60" s="132"/>
      <c r="CX60" s="132"/>
      <c r="CY60" s="132"/>
      <c r="CZ60" s="132"/>
      <c r="DA60" s="132"/>
      <c r="DB60" s="132"/>
      <c r="DC60" s="132"/>
      <c r="DD60" s="132"/>
      <c r="DE60" s="132"/>
      <c r="DF60" s="132"/>
      <c r="DG60" s="132"/>
      <c r="DH60" s="132"/>
      <c r="DI60" s="132"/>
      <c r="DJ60" s="132"/>
      <c r="DK60" s="132"/>
      <c r="DL60" s="132"/>
      <c r="DM60" s="132"/>
      <c r="DN60" s="132"/>
      <c r="DO60" s="132"/>
      <c r="DP60" s="132"/>
      <c r="DQ60" s="132"/>
      <c r="DR60" s="132"/>
      <c r="DS60" s="132"/>
      <c r="DT60" s="132"/>
      <c r="DU60" s="132"/>
      <c r="DV60" s="132"/>
      <c r="DW60" s="132"/>
      <c r="DX60" s="132"/>
      <c r="DY60" s="132"/>
      <c r="DZ60" s="132"/>
      <c r="EA60" s="132"/>
      <c r="EB60" s="132"/>
      <c r="EC60" s="132"/>
      <c r="ED60" s="132"/>
      <c r="EE60" s="132"/>
      <c r="EF60" s="132"/>
      <c r="EG60" s="132"/>
      <c r="EH60" s="132"/>
      <c r="EI60" s="132"/>
      <c r="EJ60" s="132"/>
      <c r="EK60" s="132"/>
      <c r="EL60" s="132"/>
      <c r="EM60" s="132"/>
      <c r="EN60" s="132"/>
      <c r="EO60" s="132"/>
      <c r="EP60" s="132"/>
      <c r="EQ60" s="132"/>
      <c r="ER60" s="132"/>
      <c r="ES60" s="132"/>
      <c r="ET60" s="132"/>
      <c r="EU60" s="132"/>
      <c r="EV60" s="132"/>
      <c r="EW60" s="132"/>
      <c r="EX60" s="132"/>
      <c r="EY60" s="132"/>
      <c r="EZ60" s="132"/>
      <c r="FA60" s="132"/>
      <c r="FB60" s="132"/>
      <c r="FC60" s="132"/>
      <c r="FD60" s="132"/>
      <c r="FE60" s="132"/>
      <c r="FF60" s="132"/>
      <c r="FG60" s="132"/>
      <c r="FH60" s="132"/>
      <c r="FI60" s="132"/>
      <c r="FJ60" s="132"/>
      <c r="FK60" s="132"/>
      <c r="FL60" s="132"/>
      <c r="FM60" s="132"/>
      <c r="FN60" s="132"/>
      <c r="FO60" s="132"/>
      <c r="FP60" s="132"/>
      <c r="FQ60" s="132"/>
      <c r="FR60" s="132"/>
      <c r="FS60" s="132"/>
      <c r="FT60" s="132"/>
      <c r="FU60" s="132"/>
      <c r="FV60" s="132"/>
      <c r="FW60" s="132"/>
      <c r="FX60" s="132"/>
      <c r="FY60" s="132"/>
      <c r="FZ60" s="132"/>
      <c r="GA60" s="132"/>
      <c r="GB60" s="132"/>
      <c r="GC60" s="132"/>
      <c r="GD60" s="132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3"/>
      <c r="GV60" s="133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3"/>
      <c r="HI60" s="133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3"/>
      <c r="HV60" s="133"/>
      <c r="HW60" s="133"/>
      <c r="HX60" s="133"/>
      <c r="HY60" s="133"/>
      <c r="HZ60" s="133"/>
      <c r="IA60" s="133"/>
      <c r="IB60" s="133"/>
      <c r="IC60" s="133"/>
      <c r="ID60" s="133"/>
      <c r="IE60" s="133"/>
      <c r="IF60" s="133"/>
      <c r="IG60" s="133"/>
      <c r="IH60" s="133"/>
      <c r="II60" s="133"/>
      <c r="IJ60" s="133"/>
      <c r="IK60" s="133"/>
      <c r="IL60" s="133"/>
      <c r="IM60" s="133"/>
      <c r="IN60" s="133"/>
      <c r="IO60" s="133"/>
      <c r="IP60" s="133"/>
      <c r="IQ60" s="133"/>
      <c r="IR60" s="133"/>
      <c r="IS60" s="133"/>
      <c r="IT60" s="133"/>
      <c r="IU60" s="133"/>
      <c r="IV60" s="133"/>
    </row>
    <row r="61" spans="1:256" s="151" customFormat="1" ht="12.6" customHeight="1">
      <c r="A61" s="171">
        <v>514</v>
      </c>
      <c r="B61" s="152" t="s">
        <v>882</v>
      </c>
      <c r="C61" s="147">
        <f t="shared" si="10"/>
        <v>0</v>
      </c>
      <c r="D61" s="154">
        <f>SUMIFS('Plan rashoda za unos u SAP'!$I$3:$I$501,'Plan rashoda za unos u SAP'!$C$3:$C$501,"=11",'Plan rashoda za unos u SAP'!$M$3:$M$501,"=514")</f>
        <v>0</v>
      </c>
      <c r="E61" s="154">
        <f>SUMIFS('Plan rashoda za unos u SAP'!$I$3:$I$501,'Plan rashoda za unos u SAP'!$C$3:$C$501,"=12",'Plan rashoda za unos u SAP'!$M$3:$M$501,"=514")</f>
        <v>0</v>
      </c>
      <c r="F61" s="154">
        <f>SUMIFS('Plan rashoda za unos u SAP'!$I$3:$I$501,'Plan rashoda za unos u SAP'!$C$3:$C$501,"=31",'Plan rashoda za unos u SAP'!$M$3:$M$501,"=514")</f>
        <v>0</v>
      </c>
      <c r="G61" s="154">
        <f>SUMIFS('Plan rashoda za unos u SAP'!$I$3:$I$501,'Plan rashoda za unos u SAP'!$C$3:$C$501,"=43",'Plan rashoda za unos u SAP'!$M$3:$M$501,"=514")</f>
        <v>0</v>
      </c>
      <c r="H61" s="154">
        <f>SUMIFS('Plan rashoda za unos u SAP'!$I$3:$I$501,'Plan rashoda za unos u SAP'!$C$3:$C$501,"=51",'Plan rashoda za unos u SAP'!$M$3:$M$501,"=514")</f>
        <v>0</v>
      </c>
      <c r="I61" s="154">
        <f>SUMIFS('Plan rashoda za unos u SAP'!$I$3:$I$501,'Plan rashoda za unos u SAP'!$C$3:$C$501,"=52",'Plan rashoda za unos u SAP'!$M$3:$M$501,"=514")</f>
        <v>0</v>
      </c>
      <c r="J61" s="154">
        <f>SUMIFS('Plan rashoda za unos u SAP'!$I$3:$I$501,'Plan rashoda za unos u SAP'!$C$3:$C$501,"=559",'Plan rashoda za unos u SAP'!$M$3:$M$501,"=514")</f>
        <v>0</v>
      </c>
      <c r="K61" s="154">
        <f>SUMIFS('Plan rashoda za unos u SAP'!$I$3:$I$501,'Plan rashoda za unos u SAP'!$C$3:$C$501,"=561",'Plan rashoda za unos u SAP'!$M$3:$M$501,"=514")</f>
        <v>0</v>
      </c>
      <c r="L61" s="154">
        <f>SUMIFS('Plan rashoda za unos u SAP'!$I$3:$I$501,'Plan rashoda za unos u SAP'!$C$3:$C$501,"=563",'Plan rashoda za unos u SAP'!$M$3:$M$501,"=514")</f>
        <v>0</v>
      </c>
      <c r="M61" s="154">
        <f>SUMIFS('Plan rashoda za unos u SAP'!$I$3:$I$501,'Plan rashoda za unos u SAP'!$C$3:$C$501,"=61",'Plan rashoda za unos u SAP'!$M$3:$M$501,"=514")</f>
        <v>0</v>
      </c>
      <c r="N61" s="154">
        <f>SUMIFS('Plan rashoda za unos u SAP'!$I$3:$I$501,'Plan rashoda za unos u SAP'!$C$3:$C$501,"=63",'Plan rashoda za unos u SAP'!$M$3:$M$501,"=514")</f>
        <v>0</v>
      </c>
      <c r="O61" s="154">
        <f>SUMIFS('Plan rashoda za unos u SAP'!$I$3:$I$501,'Plan rashoda za unos u SAP'!$C$3:$C$501,"=71",'Plan rashoda za unos u SAP'!$M$3:$M$501,"=514")</f>
        <v>0</v>
      </c>
      <c r="P61" s="154">
        <f>SUMIFS('Plan rashoda za unos u SAP'!$I$3:$I$501,'Plan rashoda za unos u SAP'!$C$3:$C$501,"=81",'Plan rashoda za unos u SAP'!$M$3:$M$501,"=514")</f>
        <v>0</v>
      </c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  <c r="CI61" s="132"/>
      <c r="CJ61" s="132"/>
      <c r="CK61" s="132"/>
      <c r="CL61" s="132"/>
      <c r="CM61" s="132"/>
      <c r="CN61" s="132"/>
      <c r="CO61" s="132"/>
      <c r="CP61" s="132"/>
      <c r="CQ61" s="132"/>
      <c r="CR61" s="132"/>
      <c r="CS61" s="132"/>
      <c r="CT61" s="132"/>
      <c r="CU61" s="132"/>
      <c r="CV61" s="132"/>
      <c r="CW61" s="132"/>
      <c r="CX61" s="132"/>
      <c r="CY61" s="132"/>
      <c r="CZ61" s="132"/>
      <c r="DA61" s="132"/>
      <c r="DB61" s="132"/>
      <c r="DC61" s="132"/>
      <c r="DD61" s="132"/>
      <c r="DE61" s="132"/>
      <c r="DF61" s="132"/>
      <c r="DG61" s="132"/>
      <c r="DH61" s="132"/>
      <c r="DI61" s="132"/>
      <c r="DJ61" s="132"/>
      <c r="DK61" s="132"/>
      <c r="DL61" s="132"/>
      <c r="DM61" s="132"/>
      <c r="DN61" s="132"/>
      <c r="DO61" s="132"/>
      <c r="DP61" s="132"/>
      <c r="DQ61" s="132"/>
      <c r="DR61" s="132"/>
      <c r="DS61" s="132"/>
      <c r="DT61" s="132"/>
      <c r="DU61" s="132"/>
      <c r="DV61" s="132"/>
      <c r="DW61" s="132"/>
      <c r="DX61" s="132"/>
      <c r="DY61" s="132"/>
      <c r="DZ61" s="132"/>
      <c r="EA61" s="132"/>
      <c r="EB61" s="132"/>
      <c r="EC61" s="132"/>
      <c r="ED61" s="132"/>
      <c r="EE61" s="132"/>
      <c r="EF61" s="132"/>
      <c r="EG61" s="132"/>
      <c r="EH61" s="132"/>
      <c r="EI61" s="132"/>
      <c r="EJ61" s="132"/>
      <c r="EK61" s="132"/>
      <c r="EL61" s="132"/>
      <c r="EM61" s="132"/>
      <c r="EN61" s="132"/>
      <c r="EO61" s="132"/>
      <c r="EP61" s="132"/>
      <c r="EQ61" s="132"/>
      <c r="ER61" s="132"/>
      <c r="ES61" s="132"/>
      <c r="ET61" s="132"/>
      <c r="EU61" s="132"/>
      <c r="EV61" s="132"/>
      <c r="EW61" s="132"/>
      <c r="EX61" s="132"/>
      <c r="EY61" s="132"/>
      <c r="EZ61" s="132"/>
      <c r="FA61" s="132"/>
      <c r="FB61" s="132"/>
      <c r="FC61" s="132"/>
      <c r="FD61" s="132"/>
      <c r="FE61" s="132"/>
      <c r="FF61" s="132"/>
      <c r="FG61" s="132"/>
      <c r="FH61" s="132"/>
      <c r="FI61" s="132"/>
      <c r="FJ61" s="132"/>
      <c r="FK61" s="132"/>
      <c r="FL61" s="132"/>
      <c r="FM61" s="132"/>
      <c r="FN61" s="132"/>
      <c r="FO61" s="132"/>
      <c r="FP61" s="132"/>
      <c r="FQ61" s="132"/>
      <c r="FR61" s="132"/>
      <c r="FS61" s="132"/>
      <c r="FT61" s="132"/>
      <c r="FU61" s="132"/>
      <c r="FV61" s="132"/>
      <c r="FW61" s="132"/>
      <c r="FX61" s="132"/>
      <c r="FY61" s="132"/>
      <c r="FZ61" s="132"/>
      <c r="GA61" s="132"/>
      <c r="GB61" s="132"/>
      <c r="GC61" s="132"/>
      <c r="GD61" s="132"/>
      <c r="GE61" s="133"/>
      <c r="GF61" s="133"/>
      <c r="GG61" s="133"/>
      <c r="GH61" s="133"/>
      <c r="GI61" s="133"/>
      <c r="GJ61" s="133"/>
      <c r="GK61" s="133"/>
      <c r="GL61" s="133"/>
      <c r="GM61" s="133"/>
      <c r="GN61" s="133"/>
      <c r="GO61" s="133"/>
      <c r="GP61" s="133"/>
      <c r="GQ61" s="133"/>
      <c r="GR61" s="133"/>
      <c r="GS61" s="133"/>
      <c r="GT61" s="133"/>
      <c r="GU61" s="133"/>
      <c r="GV61" s="133"/>
      <c r="GW61" s="133"/>
      <c r="GX61" s="133"/>
      <c r="GY61" s="133"/>
      <c r="GZ61" s="133"/>
      <c r="HA61" s="133"/>
      <c r="HB61" s="133"/>
      <c r="HC61" s="133"/>
      <c r="HD61" s="133"/>
      <c r="HE61" s="133"/>
      <c r="HF61" s="133"/>
      <c r="HG61" s="133"/>
      <c r="HH61" s="133"/>
      <c r="HI61" s="133"/>
      <c r="HJ61" s="133"/>
      <c r="HK61" s="133"/>
      <c r="HL61" s="133"/>
      <c r="HM61" s="133"/>
      <c r="HN61" s="133"/>
      <c r="HO61" s="133"/>
      <c r="HP61" s="133"/>
      <c r="HQ61" s="133"/>
      <c r="HR61" s="133"/>
      <c r="HS61" s="133"/>
      <c r="HT61" s="133"/>
      <c r="HU61" s="133"/>
      <c r="HV61" s="133"/>
      <c r="HW61" s="133"/>
      <c r="HX61" s="133"/>
      <c r="HY61" s="133"/>
      <c r="HZ61" s="133"/>
      <c r="IA61" s="133"/>
      <c r="IB61" s="133"/>
      <c r="IC61" s="133"/>
      <c r="ID61" s="133"/>
      <c r="IE61" s="133"/>
      <c r="IF61" s="133"/>
      <c r="IG61" s="133"/>
      <c r="IH61" s="133"/>
      <c r="II61" s="133"/>
      <c r="IJ61" s="133"/>
      <c r="IK61" s="133"/>
      <c r="IL61" s="133"/>
      <c r="IM61" s="133"/>
      <c r="IN61" s="133"/>
      <c r="IO61" s="133"/>
      <c r="IP61" s="133"/>
      <c r="IQ61" s="133"/>
      <c r="IR61" s="133"/>
      <c r="IS61" s="133"/>
      <c r="IT61" s="133"/>
      <c r="IU61" s="133"/>
      <c r="IV61" s="133"/>
    </row>
    <row r="62" spans="1:256" s="151" customFormat="1" ht="12.6" customHeight="1">
      <c r="A62" s="171">
        <v>518</v>
      </c>
      <c r="B62" s="152" t="s">
        <v>883</v>
      </c>
      <c r="C62" s="147">
        <f t="shared" si="10"/>
        <v>0</v>
      </c>
      <c r="D62" s="154">
        <f>SUMIFS('Plan rashoda za unos u SAP'!$I$3:$I$501,'Plan rashoda za unos u SAP'!$C$3:$C$501,"=11",'Plan rashoda za unos u SAP'!$M$3:$M$501,"=518")</f>
        <v>0</v>
      </c>
      <c r="E62" s="154">
        <f>SUMIFS('Plan rashoda za unos u SAP'!$I$3:$I$501,'Plan rashoda za unos u SAP'!$C$3:$C$501,"=12",'Plan rashoda za unos u SAP'!$M$3:$M$501,"=518")</f>
        <v>0</v>
      </c>
      <c r="F62" s="154">
        <f>SUMIFS('Plan rashoda za unos u SAP'!$I$3:$I$501,'Plan rashoda za unos u SAP'!$C$3:$C$501,"=31",'Plan rashoda za unos u SAP'!$M$3:$M$501,"=518")</f>
        <v>0</v>
      </c>
      <c r="G62" s="154">
        <f>SUMIFS('Plan rashoda za unos u SAP'!$I$3:$I$501,'Plan rashoda za unos u SAP'!$C$3:$C$501,"=43",'Plan rashoda za unos u SAP'!$M$3:$M$501,"=518")</f>
        <v>0</v>
      </c>
      <c r="H62" s="154">
        <f>SUMIFS('Plan rashoda za unos u SAP'!$I$3:$I$501,'Plan rashoda za unos u SAP'!$C$3:$C$501,"=51",'Plan rashoda za unos u SAP'!$M$3:$M$501,"=518")</f>
        <v>0</v>
      </c>
      <c r="I62" s="154">
        <f>SUMIFS('Plan rashoda za unos u SAP'!$I$3:$I$501,'Plan rashoda za unos u SAP'!$C$3:$C$501,"=52",'Plan rashoda za unos u SAP'!$M$3:$M$501,"=518")</f>
        <v>0</v>
      </c>
      <c r="J62" s="154">
        <f>SUMIFS('Plan rashoda za unos u SAP'!$I$3:$I$501,'Plan rashoda za unos u SAP'!$C$3:$C$501,"=559",'Plan rashoda za unos u SAP'!$M$3:$M$501,"=518")</f>
        <v>0</v>
      </c>
      <c r="K62" s="154">
        <f>SUMIFS('Plan rashoda za unos u SAP'!$I$3:$I$501,'Plan rashoda za unos u SAP'!$C$3:$C$501,"=561",'Plan rashoda za unos u SAP'!$M$3:$M$501,"=518")</f>
        <v>0</v>
      </c>
      <c r="L62" s="154">
        <f>SUMIFS('Plan rashoda za unos u SAP'!$I$3:$I$501,'Plan rashoda za unos u SAP'!$C$3:$C$501,"=563",'Plan rashoda za unos u SAP'!$M$3:$M$501,"=518")</f>
        <v>0</v>
      </c>
      <c r="M62" s="154">
        <f>SUMIFS('Plan rashoda za unos u SAP'!$I$3:$I$501,'Plan rashoda za unos u SAP'!$C$3:$C$501,"=61",'Plan rashoda za unos u SAP'!$M$3:$M$501,"=518")</f>
        <v>0</v>
      </c>
      <c r="N62" s="154">
        <f>SUMIFS('Plan rashoda za unos u SAP'!$I$3:$I$501,'Plan rashoda za unos u SAP'!$C$3:$C$501,"=63",'Plan rashoda za unos u SAP'!$M$3:$M$501,"=518")</f>
        <v>0</v>
      </c>
      <c r="O62" s="154">
        <f>SUMIFS('Plan rashoda za unos u SAP'!$I$3:$I$501,'Plan rashoda za unos u SAP'!$C$3:$C$501,"=71",'Plan rashoda za unos u SAP'!$M$3:$M$501,"=518")</f>
        <v>0</v>
      </c>
      <c r="P62" s="154">
        <f>SUMIFS('Plan rashoda za unos u SAP'!$I$3:$I$501,'Plan rashoda za unos u SAP'!$C$3:$C$501,"=81",'Plan rashoda za unos u SAP'!$M$3:$M$501,"=518")</f>
        <v>0</v>
      </c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S62" s="132"/>
      <c r="BT62" s="132"/>
      <c r="BU62" s="132"/>
      <c r="BV62" s="132"/>
      <c r="BW62" s="132"/>
      <c r="BX62" s="132"/>
      <c r="BY62" s="132"/>
      <c r="BZ62" s="132"/>
      <c r="CA62" s="132"/>
      <c r="CB62" s="132"/>
      <c r="CC62" s="132"/>
      <c r="CD62" s="132"/>
      <c r="CE62" s="132"/>
      <c r="CF62" s="132"/>
      <c r="CG62" s="132"/>
      <c r="CH62" s="132"/>
      <c r="CI62" s="132"/>
      <c r="CJ62" s="132"/>
      <c r="CK62" s="132"/>
      <c r="CL62" s="132"/>
      <c r="CM62" s="132"/>
      <c r="CN62" s="132"/>
      <c r="CO62" s="132"/>
      <c r="CP62" s="132"/>
      <c r="CQ62" s="132"/>
      <c r="CR62" s="132"/>
      <c r="CS62" s="132"/>
      <c r="CT62" s="132"/>
      <c r="CU62" s="132"/>
      <c r="CV62" s="132"/>
      <c r="CW62" s="132"/>
      <c r="CX62" s="132"/>
      <c r="CY62" s="132"/>
      <c r="CZ62" s="132"/>
      <c r="DA62" s="132"/>
      <c r="DB62" s="132"/>
      <c r="DC62" s="132"/>
      <c r="DD62" s="132"/>
      <c r="DE62" s="132"/>
      <c r="DF62" s="132"/>
      <c r="DG62" s="132"/>
      <c r="DH62" s="132"/>
      <c r="DI62" s="132"/>
      <c r="DJ62" s="132"/>
      <c r="DK62" s="132"/>
      <c r="DL62" s="132"/>
      <c r="DM62" s="132"/>
      <c r="DN62" s="132"/>
      <c r="DO62" s="132"/>
      <c r="DP62" s="132"/>
      <c r="DQ62" s="132"/>
      <c r="DR62" s="132"/>
      <c r="DS62" s="132"/>
      <c r="DT62" s="132"/>
      <c r="DU62" s="132"/>
      <c r="DV62" s="132"/>
      <c r="DW62" s="132"/>
      <c r="DX62" s="132"/>
      <c r="DY62" s="132"/>
      <c r="DZ62" s="132"/>
      <c r="EA62" s="132"/>
      <c r="EB62" s="132"/>
      <c r="EC62" s="132"/>
      <c r="ED62" s="132"/>
      <c r="EE62" s="132"/>
      <c r="EF62" s="132"/>
      <c r="EG62" s="132"/>
      <c r="EH62" s="132"/>
      <c r="EI62" s="132"/>
      <c r="EJ62" s="132"/>
      <c r="EK62" s="132"/>
      <c r="EL62" s="132"/>
      <c r="EM62" s="132"/>
      <c r="EN62" s="132"/>
      <c r="EO62" s="132"/>
      <c r="EP62" s="132"/>
      <c r="EQ62" s="132"/>
      <c r="ER62" s="132"/>
      <c r="ES62" s="132"/>
      <c r="ET62" s="132"/>
      <c r="EU62" s="132"/>
      <c r="EV62" s="132"/>
      <c r="EW62" s="132"/>
      <c r="EX62" s="132"/>
      <c r="EY62" s="132"/>
      <c r="EZ62" s="132"/>
      <c r="FA62" s="132"/>
      <c r="FB62" s="132"/>
      <c r="FC62" s="132"/>
      <c r="FD62" s="132"/>
      <c r="FE62" s="132"/>
      <c r="FF62" s="132"/>
      <c r="FG62" s="132"/>
      <c r="FH62" s="132"/>
      <c r="FI62" s="132"/>
      <c r="FJ62" s="132"/>
      <c r="FK62" s="132"/>
      <c r="FL62" s="132"/>
      <c r="FM62" s="132"/>
      <c r="FN62" s="132"/>
      <c r="FO62" s="132"/>
      <c r="FP62" s="132"/>
      <c r="FQ62" s="132"/>
      <c r="FR62" s="132"/>
      <c r="FS62" s="132"/>
      <c r="FT62" s="132"/>
      <c r="FU62" s="132"/>
      <c r="FV62" s="132"/>
      <c r="FW62" s="132"/>
      <c r="FX62" s="132"/>
      <c r="FY62" s="132"/>
      <c r="FZ62" s="132"/>
      <c r="GA62" s="132"/>
      <c r="GB62" s="132"/>
      <c r="GC62" s="132"/>
      <c r="GD62" s="132"/>
      <c r="GE62" s="133"/>
      <c r="GF62" s="133"/>
      <c r="GG62" s="133"/>
      <c r="GH62" s="133"/>
      <c r="GI62" s="133"/>
      <c r="GJ62" s="133"/>
      <c r="GK62" s="133"/>
      <c r="GL62" s="133"/>
      <c r="GM62" s="133"/>
      <c r="GN62" s="133"/>
      <c r="GO62" s="133"/>
      <c r="GP62" s="133"/>
      <c r="GQ62" s="133"/>
      <c r="GR62" s="133"/>
      <c r="GS62" s="133"/>
      <c r="GT62" s="133"/>
      <c r="GU62" s="133"/>
      <c r="GV62" s="133"/>
      <c r="GW62" s="133"/>
      <c r="GX62" s="133"/>
      <c r="GY62" s="133"/>
      <c r="GZ62" s="133"/>
      <c r="HA62" s="133"/>
      <c r="HB62" s="133"/>
      <c r="HC62" s="133"/>
      <c r="HD62" s="133"/>
      <c r="HE62" s="133"/>
      <c r="HF62" s="133"/>
      <c r="HG62" s="133"/>
      <c r="HH62" s="133"/>
      <c r="HI62" s="133"/>
      <c r="HJ62" s="133"/>
      <c r="HK62" s="133"/>
      <c r="HL62" s="133"/>
      <c r="HM62" s="133"/>
      <c r="HN62" s="133"/>
      <c r="HO62" s="133"/>
      <c r="HP62" s="133"/>
      <c r="HQ62" s="133"/>
      <c r="HR62" s="133"/>
      <c r="HS62" s="133"/>
      <c r="HT62" s="133"/>
      <c r="HU62" s="133"/>
      <c r="HV62" s="133"/>
      <c r="HW62" s="133"/>
      <c r="HX62" s="133"/>
      <c r="HY62" s="133"/>
      <c r="HZ62" s="133"/>
      <c r="IA62" s="133"/>
      <c r="IB62" s="133"/>
      <c r="IC62" s="133"/>
      <c r="ID62" s="133"/>
      <c r="IE62" s="133"/>
      <c r="IF62" s="133"/>
      <c r="IG62" s="133"/>
      <c r="IH62" s="133"/>
      <c r="II62" s="133"/>
      <c r="IJ62" s="133"/>
      <c r="IK62" s="133"/>
      <c r="IL62" s="133"/>
      <c r="IM62" s="133"/>
      <c r="IN62" s="133"/>
      <c r="IO62" s="133"/>
      <c r="IP62" s="133"/>
      <c r="IQ62" s="133"/>
      <c r="IR62" s="133"/>
      <c r="IS62" s="133"/>
      <c r="IT62" s="133"/>
      <c r="IU62" s="133"/>
      <c r="IV62" s="133"/>
    </row>
    <row r="63" spans="1:256" s="151" customFormat="1" ht="12.6" customHeight="1">
      <c r="A63" s="145">
        <v>54</v>
      </c>
      <c r="B63" s="146" t="s">
        <v>884</v>
      </c>
      <c r="C63" s="147">
        <f t="shared" si="10"/>
        <v>0</v>
      </c>
      <c r="D63" s="148">
        <f t="shared" ref="D63:P63" si="19">SUM(D64:D68)</f>
        <v>0</v>
      </c>
      <c r="E63" s="148">
        <f t="shared" si="19"/>
        <v>0</v>
      </c>
      <c r="F63" s="148">
        <f t="shared" si="19"/>
        <v>0</v>
      </c>
      <c r="G63" s="148">
        <f t="shared" si="19"/>
        <v>0</v>
      </c>
      <c r="H63" s="148">
        <f t="shared" si="19"/>
        <v>0</v>
      </c>
      <c r="I63" s="148">
        <f t="shared" si="19"/>
        <v>0</v>
      </c>
      <c r="J63" s="148">
        <f t="shared" si="19"/>
        <v>0</v>
      </c>
      <c r="K63" s="148">
        <f t="shared" si="19"/>
        <v>0</v>
      </c>
      <c r="L63" s="148">
        <f t="shared" si="19"/>
        <v>0</v>
      </c>
      <c r="M63" s="148">
        <f t="shared" si="19"/>
        <v>0</v>
      </c>
      <c r="N63" s="148">
        <f t="shared" si="19"/>
        <v>0</v>
      </c>
      <c r="O63" s="148">
        <f t="shared" si="19"/>
        <v>0</v>
      </c>
      <c r="P63" s="148">
        <f t="shared" si="19"/>
        <v>0</v>
      </c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  <c r="DF63" s="149"/>
      <c r="DG63" s="149"/>
      <c r="DH63" s="149"/>
      <c r="DI63" s="149"/>
      <c r="DJ63" s="149"/>
      <c r="DK63" s="149"/>
      <c r="DL63" s="149"/>
      <c r="DM63" s="149"/>
      <c r="DN63" s="149"/>
      <c r="DO63" s="149"/>
      <c r="DP63" s="149"/>
      <c r="DQ63" s="149"/>
      <c r="DR63" s="149"/>
      <c r="DS63" s="149"/>
      <c r="DT63" s="149"/>
      <c r="DU63" s="149"/>
      <c r="DV63" s="149"/>
      <c r="DW63" s="149"/>
      <c r="DX63" s="149"/>
      <c r="DY63" s="149"/>
      <c r="DZ63" s="149"/>
      <c r="EA63" s="149"/>
      <c r="EB63" s="149"/>
      <c r="EC63" s="149"/>
      <c r="ED63" s="149"/>
      <c r="EE63" s="149"/>
      <c r="EF63" s="149"/>
      <c r="EG63" s="149"/>
      <c r="EH63" s="149"/>
      <c r="EI63" s="149"/>
      <c r="EJ63" s="149"/>
      <c r="EK63" s="149"/>
      <c r="EL63" s="149"/>
      <c r="EM63" s="149"/>
      <c r="EN63" s="149"/>
      <c r="EO63" s="149"/>
      <c r="EP63" s="149"/>
      <c r="EQ63" s="149"/>
      <c r="ER63" s="149"/>
      <c r="ES63" s="149"/>
      <c r="ET63" s="149"/>
      <c r="EU63" s="149"/>
      <c r="EV63" s="149"/>
      <c r="EW63" s="149"/>
      <c r="EX63" s="149"/>
      <c r="EY63" s="149"/>
      <c r="EZ63" s="149"/>
      <c r="FA63" s="149"/>
      <c r="FB63" s="149"/>
      <c r="FC63" s="149"/>
      <c r="FD63" s="149"/>
      <c r="FE63" s="149"/>
      <c r="FF63" s="149"/>
      <c r="FG63" s="149"/>
      <c r="FH63" s="149"/>
      <c r="FI63" s="149"/>
      <c r="FJ63" s="149"/>
      <c r="FK63" s="149"/>
      <c r="FL63" s="149"/>
      <c r="FM63" s="149"/>
      <c r="FN63" s="149"/>
      <c r="FO63" s="149"/>
      <c r="FP63" s="149"/>
      <c r="FQ63" s="149"/>
      <c r="FR63" s="149"/>
      <c r="FS63" s="149"/>
      <c r="FT63" s="149"/>
      <c r="FU63" s="149"/>
      <c r="FV63" s="149"/>
      <c r="FW63" s="149"/>
      <c r="FX63" s="149"/>
      <c r="FY63" s="149"/>
      <c r="FZ63" s="149"/>
      <c r="GA63" s="149"/>
      <c r="GB63" s="149"/>
      <c r="GC63" s="149"/>
      <c r="GD63" s="149"/>
      <c r="GE63" s="150"/>
      <c r="GF63" s="150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  <c r="IK63" s="150"/>
      <c r="IL63" s="150"/>
      <c r="IM63" s="150"/>
      <c r="IN63" s="150"/>
      <c r="IO63" s="150"/>
      <c r="IP63" s="150"/>
      <c r="IQ63" s="150"/>
      <c r="IR63" s="150"/>
      <c r="IS63" s="150"/>
      <c r="IT63" s="150"/>
      <c r="IU63" s="150"/>
      <c r="IV63" s="150"/>
    </row>
    <row r="64" spans="1:256" s="151" customFormat="1" ht="12.6" customHeight="1">
      <c r="A64" s="155">
        <v>542</v>
      </c>
      <c r="B64" s="156" t="s">
        <v>885</v>
      </c>
      <c r="C64" s="147">
        <f t="shared" si="10"/>
        <v>0</v>
      </c>
      <c r="D64" s="154">
        <f>SUMIFS('Plan rashoda za unos u SAP'!$I$3:$I$501,'Plan rashoda za unos u SAP'!$C$3:$C$501,"=11",'Plan rashoda za unos u SAP'!$M$3:$M$501,"=542")</f>
        <v>0</v>
      </c>
      <c r="E64" s="154">
        <f>SUMIFS('Plan rashoda za unos u SAP'!$I$3:$I$501,'Plan rashoda za unos u SAP'!$C$3:$C$501,"=12",'Plan rashoda za unos u SAP'!$M$3:$M$501,"=542")</f>
        <v>0</v>
      </c>
      <c r="F64" s="154">
        <f>SUMIFS('Plan rashoda za unos u SAP'!$I$3:$I$501,'Plan rashoda za unos u SAP'!$C$3:$C$501,"=31",'Plan rashoda za unos u SAP'!$M$3:$M$501,"=542")</f>
        <v>0</v>
      </c>
      <c r="G64" s="154">
        <f>SUMIFS('Plan rashoda za unos u SAP'!$I$3:$I$501,'Plan rashoda za unos u SAP'!$C$3:$C$501,"=43",'Plan rashoda za unos u SAP'!$M$3:$M$501,"=542")</f>
        <v>0</v>
      </c>
      <c r="H64" s="154">
        <f>SUMIFS('Plan rashoda za unos u SAP'!$I$3:$I$501,'Plan rashoda za unos u SAP'!$C$3:$C$501,"=51",'Plan rashoda za unos u SAP'!$M$3:$M$501,"=542")</f>
        <v>0</v>
      </c>
      <c r="I64" s="154">
        <f>SUMIFS('Plan rashoda za unos u SAP'!$I$3:$I$501,'Plan rashoda za unos u SAP'!$C$3:$C$501,"=52",'Plan rashoda za unos u SAP'!$M$3:$M$501,"=542")</f>
        <v>0</v>
      </c>
      <c r="J64" s="154">
        <f>SUMIFS('Plan rashoda za unos u SAP'!$I$3:$I$501,'Plan rashoda za unos u SAP'!$C$3:$C$501,"=559",'Plan rashoda za unos u SAP'!$M$3:$M$501,"=542")</f>
        <v>0</v>
      </c>
      <c r="K64" s="154">
        <f>SUMIFS('Plan rashoda za unos u SAP'!$I$3:$I$501,'Plan rashoda za unos u SAP'!$C$3:$C$501,"=561",'Plan rashoda za unos u SAP'!$M$3:$M$501,"=542")</f>
        <v>0</v>
      </c>
      <c r="L64" s="154">
        <f>SUMIFS('Plan rashoda za unos u SAP'!$I$3:$I$501,'Plan rashoda za unos u SAP'!$C$3:$C$501,"=563",'Plan rashoda za unos u SAP'!$M$3:$M$501,"=542")</f>
        <v>0</v>
      </c>
      <c r="M64" s="154">
        <f>SUMIFS('Plan rashoda za unos u SAP'!$I$3:$I$501,'Plan rashoda za unos u SAP'!$C$3:$C$501,"=61",'Plan rashoda za unos u SAP'!$M$3:$M$501,"=542")</f>
        <v>0</v>
      </c>
      <c r="N64" s="154">
        <f>SUMIFS('Plan rashoda za unos u SAP'!$I$3:$I$501,'Plan rashoda za unos u SAP'!$C$3:$C$501,"=63",'Plan rashoda za unos u SAP'!$M$3:$M$501,"=542")</f>
        <v>0</v>
      </c>
      <c r="O64" s="154">
        <f>SUMIFS('Plan rashoda za unos u SAP'!$I$3:$I$501,'Plan rashoda za unos u SAP'!$C$3:$C$501,"=71",'Plan rashoda za unos u SAP'!$M$3:$M$501,"=542")</f>
        <v>0</v>
      </c>
      <c r="P64" s="154">
        <f>SUMIFS('Plan rashoda za unos u SAP'!$I$3:$I$501,'Plan rashoda za unos u SAP'!$C$3:$C$501,"=81",'Plan rashoda za unos u SAP'!$M$3:$M$501,"=542")</f>
        <v>0</v>
      </c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  <c r="CI64" s="132"/>
      <c r="CJ64" s="132"/>
      <c r="CK64" s="132"/>
      <c r="CL64" s="132"/>
      <c r="CM64" s="132"/>
      <c r="CN64" s="132"/>
      <c r="CO64" s="132"/>
      <c r="CP64" s="132"/>
      <c r="CQ64" s="132"/>
      <c r="CR64" s="132"/>
      <c r="CS64" s="132"/>
      <c r="CT64" s="132"/>
      <c r="CU64" s="132"/>
      <c r="CV64" s="132"/>
      <c r="CW64" s="132"/>
      <c r="CX64" s="132"/>
      <c r="CY64" s="132"/>
      <c r="CZ64" s="132"/>
      <c r="DA64" s="132"/>
      <c r="DB64" s="132"/>
      <c r="DC64" s="132"/>
      <c r="DD64" s="132"/>
      <c r="DE64" s="132"/>
      <c r="DF64" s="132"/>
      <c r="DG64" s="132"/>
      <c r="DH64" s="132"/>
      <c r="DI64" s="132"/>
      <c r="DJ64" s="132"/>
      <c r="DK64" s="132"/>
      <c r="DL64" s="132"/>
      <c r="DM64" s="132"/>
      <c r="DN64" s="132"/>
      <c r="DO64" s="132"/>
      <c r="DP64" s="132"/>
      <c r="DQ64" s="132"/>
      <c r="DR64" s="132"/>
      <c r="DS64" s="132"/>
      <c r="DT64" s="132"/>
      <c r="DU64" s="132"/>
      <c r="DV64" s="132"/>
      <c r="DW64" s="132"/>
      <c r="DX64" s="132"/>
      <c r="DY64" s="132"/>
      <c r="DZ64" s="132"/>
      <c r="EA64" s="132"/>
      <c r="EB64" s="132"/>
      <c r="EC64" s="132"/>
      <c r="ED64" s="132"/>
      <c r="EE64" s="132"/>
      <c r="EF64" s="132"/>
      <c r="EG64" s="132"/>
      <c r="EH64" s="132"/>
      <c r="EI64" s="132"/>
      <c r="EJ64" s="132"/>
      <c r="EK64" s="132"/>
      <c r="EL64" s="132"/>
      <c r="EM64" s="132"/>
      <c r="EN64" s="132"/>
      <c r="EO64" s="132"/>
      <c r="EP64" s="132"/>
      <c r="EQ64" s="132"/>
      <c r="ER64" s="132"/>
      <c r="ES64" s="132"/>
      <c r="ET64" s="132"/>
      <c r="EU64" s="132"/>
      <c r="EV64" s="132"/>
      <c r="EW64" s="132"/>
      <c r="EX64" s="132"/>
      <c r="EY64" s="132"/>
      <c r="EZ64" s="132"/>
      <c r="FA64" s="132"/>
      <c r="FB64" s="132"/>
      <c r="FC64" s="132"/>
      <c r="FD64" s="132"/>
      <c r="FE64" s="132"/>
      <c r="FF64" s="132"/>
      <c r="FG64" s="132"/>
      <c r="FH64" s="132"/>
      <c r="FI64" s="132"/>
      <c r="FJ64" s="132"/>
      <c r="FK64" s="132"/>
      <c r="FL64" s="132"/>
      <c r="FM64" s="132"/>
      <c r="FN64" s="132"/>
      <c r="FO64" s="132"/>
      <c r="FP64" s="132"/>
      <c r="FQ64" s="132"/>
      <c r="FR64" s="132"/>
      <c r="FS64" s="132"/>
      <c r="FT64" s="132"/>
      <c r="FU64" s="132"/>
      <c r="FV64" s="132"/>
      <c r="FW64" s="132"/>
      <c r="FX64" s="132"/>
      <c r="FY64" s="132"/>
      <c r="FZ64" s="132"/>
      <c r="GA64" s="132"/>
      <c r="GB64" s="132"/>
      <c r="GC64" s="132"/>
      <c r="GD64" s="132"/>
      <c r="GE64" s="133"/>
      <c r="GF64" s="133"/>
      <c r="GG64" s="133"/>
      <c r="GH64" s="133"/>
      <c r="GI64" s="133"/>
      <c r="GJ64" s="133"/>
      <c r="GK64" s="133"/>
      <c r="GL64" s="133"/>
      <c r="GM64" s="133"/>
      <c r="GN64" s="133"/>
      <c r="GO64" s="133"/>
      <c r="GP64" s="133"/>
      <c r="GQ64" s="133"/>
      <c r="GR64" s="133"/>
      <c r="GS64" s="133"/>
      <c r="GT64" s="133"/>
      <c r="GU64" s="133"/>
      <c r="GV64" s="133"/>
      <c r="GW64" s="133"/>
      <c r="GX64" s="133"/>
      <c r="GY64" s="133"/>
      <c r="GZ64" s="133"/>
      <c r="HA64" s="133"/>
      <c r="HB64" s="133"/>
      <c r="HC64" s="133"/>
      <c r="HD64" s="133"/>
      <c r="HE64" s="133"/>
      <c r="HF64" s="133"/>
      <c r="HG64" s="133"/>
      <c r="HH64" s="133"/>
      <c r="HI64" s="133"/>
      <c r="HJ64" s="133"/>
      <c r="HK64" s="133"/>
      <c r="HL64" s="133"/>
      <c r="HM64" s="133"/>
      <c r="HN64" s="133"/>
      <c r="HO64" s="133"/>
      <c r="HP64" s="133"/>
      <c r="HQ64" s="133"/>
      <c r="HR64" s="133"/>
      <c r="HS64" s="133"/>
      <c r="HT64" s="133"/>
      <c r="HU64" s="133"/>
      <c r="HV64" s="133"/>
      <c r="HW64" s="133"/>
      <c r="HX64" s="133"/>
      <c r="HY64" s="133"/>
      <c r="HZ64" s="133"/>
      <c r="IA64" s="133"/>
      <c r="IB64" s="133"/>
      <c r="IC64" s="133"/>
      <c r="ID64" s="133"/>
      <c r="IE64" s="133"/>
      <c r="IF64" s="133"/>
      <c r="IG64" s="133"/>
      <c r="IH64" s="133"/>
      <c r="II64" s="133"/>
      <c r="IJ64" s="133"/>
      <c r="IK64" s="133"/>
      <c r="IL64" s="133"/>
      <c r="IM64" s="133"/>
      <c r="IN64" s="133"/>
      <c r="IO64" s="133"/>
      <c r="IP64" s="133"/>
      <c r="IQ64" s="133"/>
      <c r="IR64" s="133"/>
      <c r="IS64" s="133"/>
      <c r="IT64" s="133"/>
      <c r="IU64" s="133"/>
      <c r="IV64" s="133"/>
    </row>
    <row r="65" spans="1:256" s="151" customFormat="1" ht="12.6" customHeight="1">
      <c r="A65" s="155">
        <v>543</v>
      </c>
      <c r="B65" s="156" t="s">
        <v>752</v>
      </c>
      <c r="C65" s="147">
        <f t="shared" si="10"/>
        <v>0</v>
      </c>
      <c r="D65" s="154">
        <f>SUMIFS('Plan rashoda za unos u SAP'!$I$3:$I$501,'Plan rashoda za unos u SAP'!$C$3:$C$501,"=11",'Plan rashoda za unos u SAP'!$M$3:$M$501,"=543")</f>
        <v>0</v>
      </c>
      <c r="E65" s="154">
        <f>SUMIFS('Plan rashoda za unos u SAP'!$I$3:$I$501,'Plan rashoda za unos u SAP'!$C$3:$C$501,"=12",'Plan rashoda za unos u SAP'!$M$3:$M$501,"=543")</f>
        <v>0</v>
      </c>
      <c r="F65" s="154">
        <f>SUMIFS('Plan rashoda za unos u SAP'!$I$3:$I$501,'Plan rashoda za unos u SAP'!$C$3:$C$501,"=31",'Plan rashoda za unos u SAP'!$M$3:$M$501,"=543")</f>
        <v>0</v>
      </c>
      <c r="G65" s="154">
        <f>SUMIFS('Plan rashoda za unos u SAP'!$I$3:$I$501,'Plan rashoda za unos u SAP'!$C$3:$C$501,"=43",'Plan rashoda za unos u SAP'!$M$3:$M$501,"=543")</f>
        <v>0</v>
      </c>
      <c r="H65" s="154">
        <f>SUMIFS('Plan rashoda za unos u SAP'!$I$3:$I$501,'Plan rashoda za unos u SAP'!$C$3:$C$501,"=51",'Plan rashoda za unos u SAP'!$M$3:$M$501,"=543")</f>
        <v>0</v>
      </c>
      <c r="I65" s="154">
        <f>SUMIFS('Plan rashoda za unos u SAP'!$I$3:$I$501,'Plan rashoda za unos u SAP'!$C$3:$C$501,"=52",'Plan rashoda za unos u SAP'!$M$3:$M$501,"=543")</f>
        <v>0</v>
      </c>
      <c r="J65" s="154">
        <f>SUMIFS('Plan rashoda za unos u SAP'!$I$3:$I$501,'Plan rashoda za unos u SAP'!$C$3:$C$501,"=559",'Plan rashoda za unos u SAP'!$M$3:$M$501,"=543")</f>
        <v>0</v>
      </c>
      <c r="K65" s="154">
        <f>SUMIFS('Plan rashoda za unos u SAP'!$I$3:$I$501,'Plan rashoda za unos u SAP'!$C$3:$C$501,"=561",'Plan rashoda za unos u SAP'!$M$3:$M$501,"=543")</f>
        <v>0</v>
      </c>
      <c r="L65" s="154">
        <f>SUMIFS('Plan rashoda za unos u SAP'!$I$3:$I$501,'Plan rashoda za unos u SAP'!$C$3:$C$501,"=563",'Plan rashoda za unos u SAP'!$M$3:$M$501,"=543")</f>
        <v>0</v>
      </c>
      <c r="M65" s="154">
        <f>SUMIFS('Plan rashoda za unos u SAP'!$I$3:$I$501,'Plan rashoda za unos u SAP'!$C$3:$C$501,"=61",'Plan rashoda za unos u SAP'!$M$3:$M$501,"=543")</f>
        <v>0</v>
      </c>
      <c r="N65" s="154">
        <f>SUMIFS('Plan rashoda za unos u SAP'!$I$3:$I$501,'Plan rashoda za unos u SAP'!$C$3:$C$501,"=63",'Plan rashoda za unos u SAP'!$M$3:$M$501,"=543")</f>
        <v>0</v>
      </c>
      <c r="O65" s="154">
        <f>SUMIFS('Plan rashoda za unos u SAP'!$I$3:$I$501,'Plan rashoda za unos u SAP'!$C$3:$C$501,"=71",'Plan rashoda za unos u SAP'!$M$3:$M$501,"=543")</f>
        <v>0</v>
      </c>
      <c r="P65" s="154">
        <f>SUMIFS('Plan rashoda za unos u SAP'!$I$3:$I$501,'Plan rashoda za unos u SAP'!$C$3:$C$501,"=81",'Plan rashoda za unos u SAP'!$M$3:$M$501,"=543")</f>
        <v>0</v>
      </c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2"/>
      <c r="BW65" s="132"/>
      <c r="BX65" s="132"/>
      <c r="BY65" s="132"/>
      <c r="BZ65" s="132"/>
      <c r="CA65" s="132"/>
      <c r="CB65" s="132"/>
      <c r="CC65" s="132"/>
      <c r="CD65" s="132"/>
      <c r="CE65" s="132"/>
      <c r="CF65" s="132"/>
      <c r="CG65" s="132"/>
      <c r="CH65" s="132"/>
      <c r="CI65" s="132"/>
      <c r="CJ65" s="132"/>
      <c r="CK65" s="132"/>
      <c r="CL65" s="132"/>
      <c r="CM65" s="132"/>
      <c r="CN65" s="132"/>
      <c r="CO65" s="132"/>
      <c r="CP65" s="132"/>
      <c r="CQ65" s="132"/>
      <c r="CR65" s="132"/>
      <c r="CS65" s="132"/>
      <c r="CT65" s="132"/>
      <c r="CU65" s="132"/>
      <c r="CV65" s="132"/>
      <c r="CW65" s="132"/>
      <c r="CX65" s="132"/>
      <c r="CY65" s="132"/>
      <c r="CZ65" s="132"/>
      <c r="DA65" s="132"/>
      <c r="DB65" s="132"/>
      <c r="DC65" s="132"/>
      <c r="DD65" s="132"/>
      <c r="DE65" s="132"/>
      <c r="DF65" s="132"/>
      <c r="DG65" s="132"/>
      <c r="DH65" s="132"/>
      <c r="DI65" s="132"/>
      <c r="DJ65" s="132"/>
      <c r="DK65" s="132"/>
      <c r="DL65" s="132"/>
      <c r="DM65" s="132"/>
      <c r="DN65" s="132"/>
      <c r="DO65" s="132"/>
      <c r="DP65" s="132"/>
      <c r="DQ65" s="132"/>
      <c r="DR65" s="132"/>
      <c r="DS65" s="132"/>
      <c r="DT65" s="132"/>
      <c r="DU65" s="132"/>
      <c r="DV65" s="132"/>
      <c r="DW65" s="132"/>
      <c r="DX65" s="132"/>
      <c r="DY65" s="132"/>
      <c r="DZ65" s="132"/>
      <c r="EA65" s="132"/>
      <c r="EB65" s="132"/>
      <c r="EC65" s="132"/>
      <c r="ED65" s="132"/>
      <c r="EE65" s="132"/>
      <c r="EF65" s="132"/>
      <c r="EG65" s="132"/>
      <c r="EH65" s="132"/>
      <c r="EI65" s="132"/>
      <c r="EJ65" s="132"/>
      <c r="EK65" s="132"/>
      <c r="EL65" s="132"/>
      <c r="EM65" s="132"/>
      <c r="EN65" s="132"/>
      <c r="EO65" s="132"/>
      <c r="EP65" s="132"/>
      <c r="EQ65" s="132"/>
      <c r="ER65" s="132"/>
      <c r="ES65" s="132"/>
      <c r="ET65" s="132"/>
      <c r="EU65" s="132"/>
      <c r="EV65" s="132"/>
      <c r="EW65" s="132"/>
      <c r="EX65" s="132"/>
      <c r="EY65" s="132"/>
      <c r="EZ65" s="132"/>
      <c r="FA65" s="132"/>
      <c r="FB65" s="132"/>
      <c r="FC65" s="132"/>
      <c r="FD65" s="132"/>
      <c r="FE65" s="132"/>
      <c r="FF65" s="132"/>
      <c r="FG65" s="132"/>
      <c r="FH65" s="132"/>
      <c r="FI65" s="132"/>
      <c r="FJ65" s="132"/>
      <c r="FK65" s="132"/>
      <c r="FL65" s="132"/>
      <c r="FM65" s="132"/>
      <c r="FN65" s="132"/>
      <c r="FO65" s="132"/>
      <c r="FP65" s="132"/>
      <c r="FQ65" s="132"/>
      <c r="FR65" s="132"/>
      <c r="FS65" s="132"/>
      <c r="FT65" s="132"/>
      <c r="FU65" s="132"/>
      <c r="FV65" s="132"/>
      <c r="FW65" s="132"/>
      <c r="FX65" s="132"/>
      <c r="FY65" s="132"/>
      <c r="FZ65" s="132"/>
      <c r="GA65" s="132"/>
      <c r="GB65" s="132"/>
      <c r="GC65" s="132"/>
      <c r="GD65" s="132"/>
      <c r="GE65" s="133"/>
      <c r="GF65" s="133"/>
      <c r="GG65" s="133"/>
      <c r="GH65" s="133"/>
      <c r="GI65" s="133"/>
      <c r="GJ65" s="133"/>
      <c r="GK65" s="133"/>
      <c r="GL65" s="133"/>
      <c r="GM65" s="133"/>
      <c r="GN65" s="133"/>
      <c r="GO65" s="133"/>
      <c r="GP65" s="133"/>
      <c r="GQ65" s="133"/>
      <c r="GR65" s="133"/>
      <c r="GS65" s="133"/>
      <c r="GT65" s="133"/>
      <c r="GU65" s="133"/>
      <c r="GV65" s="133"/>
      <c r="GW65" s="133"/>
      <c r="GX65" s="133"/>
      <c r="GY65" s="133"/>
      <c r="GZ65" s="133"/>
      <c r="HA65" s="133"/>
      <c r="HB65" s="133"/>
      <c r="HC65" s="133"/>
      <c r="HD65" s="133"/>
      <c r="HE65" s="133"/>
      <c r="HF65" s="133"/>
      <c r="HG65" s="133"/>
      <c r="HH65" s="133"/>
      <c r="HI65" s="133"/>
      <c r="HJ65" s="133"/>
      <c r="HK65" s="133"/>
      <c r="HL65" s="133"/>
      <c r="HM65" s="133"/>
      <c r="HN65" s="133"/>
      <c r="HO65" s="133"/>
      <c r="HP65" s="133"/>
      <c r="HQ65" s="133"/>
      <c r="HR65" s="133"/>
      <c r="HS65" s="133"/>
      <c r="HT65" s="133"/>
      <c r="HU65" s="133"/>
      <c r="HV65" s="133"/>
      <c r="HW65" s="133"/>
      <c r="HX65" s="133"/>
      <c r="HY65" s="133"/>
      <c r="HZ65" s="133"/>
      <c r="IA65" s="133"/>
      <c r="IB65" s="133"/>
      <c r="IC65" s="133"/>
      <c r="ID65" s="133"/>
      <c r="IE65" s="133"/>
      <c r="IF65" s="133"/>
      <c r="IG65" s="133"/>
      <c r="IH65" s="133"/>
      <c r="II65" s="133"/>
      <c r="IJ65" s="133"/>
      <c r="IK65" s="133"/>
      <c r="IL65" s="133"/>
      <c r="IM65" s="133"/>
      <c r="IN65" s="133"/>
      <c r="IO65" s="133"/>
      <c r="IP65" s="133"/>
      <c r="IQ65" s="133"/>
      <c r="IR65" s="133"/>
      <c r="IS65" s="133"/>
      <c r="IT65" s="133"/>
      <c r="IU65" s="133"/>
      <c r="IV65" s="133"/>
    </row>
    <row r="66" spans="1:256" s="151" customFormat="1" ht="12.6" customHeight="1">
      <c r="A66" s="155">
        <v>544</v>
      </c>
      <c r="B66" s="156" t="s">
        <v>886</v>
      </c>
      <c r="C66" s="147">
        <f t="shared" si="10"/>
        <v>0</v>
      </c>
      <c r="D66" s="154">
        <f>SUMIFS('Plan rashoda za unos u SAP'!$I$3:$I$501,'Plan rashoda za unos u SAP'!$C$3:$C$501,"=11",'Plan rashoda za unos u SAP'!$M$3:$M$501,"=544")</f>
        <v>0</v>
      </c>
      <c r="E66" s="154">
        <f>SUMIFS('Plan rashoda za unos u SAP'!$I$3:$I$501,'Plan rashoda za unos u SAP'!$C$3:$C$501,"=12",'Plan rashoda za unos u SAP'!$M$3:$M$501,"=544")</f>
        <v>0</v>
      </c>
      <c r="F66" s="154">
        <f>SUMIFS('Plan rashoda za unos u SAP'!$I$3:$I$501,'Plan rashoda za unos u SAP'!$C$3:$C$501,"=31",'Plan rashoda za unos u SAP'!$M$3:$M$501,"=544")</f>
        <v>0</v>
      </c>
      <c r="G66" s="154">
        <f>SUMIFS('Plan rashoda za unos u SAP'!$I$3:$I$501,'Plan rashoda za unos u SAP'!$C$3:$C$501,"=43",'Plan rashoda za unos u SAP'!$M$3:$M$501,"=544")</f>
        <v>0</v>
      </c>
      <c r="H66" s="154">
        <f>SUMIFS('Plan rashoda za unos u SAP'!$I$3:$I$501,'Plan rashoda za unos u SAP'!$C$3:$C$501,"=51",'Plan rashoda za unos u SAP'!$M$3:$M$501,"=544")</f>
        <v>0</v>
      </c>
      <c r="I66" s="154">
        <f>SUMIFS('Plan rashoda za unos u SAP'!$I$3:$I$501,'Plan rashoda za unos u SAP'!$C$3:$C$501,"=52",'Plan rashoda za unos u SAP'!$M$3:$M$501,"=544")</f>
        <v>0</v>
      </c>
      <c r="J66" s="154">
        <f>SUMIFS('Plan rashoda za unos u SAP'!$I$3:$I$501,'Plan rashoda za unos u SAP'!$C$3:$C$501,"=559",'Plan rashoda za unos u SAP'!$M$3:$M$501,"=544")</f>
        <v>0</v>
      </c>
      <c r="K66" s="154">
        <f>SUMIFS('Plan rashoda za unos u SAP'!$I$3:$I$501,'Plan rashoda za unos u SAP'!$C$3:$C$501,"=561",'Plan rashoda za unos u SAP'!$M$3:$M$501,"=544")</f>
        <v>0</v>
      </c>
      <c r="L66" s="154">
        <f>SUMIFS('Plan rashoda za unos u SAP'!$I$3:$I$501,'Plan rashoda za unos u SAP'!$C$3:$C$501,"=563",'Plan rashoda za unos u SAP'!$M$3:$M$501,"=544")</f>
        <v>0</v>
      </c>
      <c r="M66" s="154">
        <f>SUMIFS('Plan rashoda za unos u SAP'!$I$3:$I$501,'Plan rashoda za unos u SAP'!$C$3:$C$501,"=61",'Plan rashoda za unos u SAP'!$M$3:$M$501,"=544")</f>
        <v>0</v>
      </c>
      <c r="N66" s="154">
        <f>SUMIFS('Plan rashoda za unos u SAP'!$I$3:$I$501,'Plan rashoda za unos u SAP'!$C$3:$C$501,"=63",'Plan rashoda za unos u SAP'!$M$3:$M$501,"=544")</f>
        <v>0</v>
      </c>
      <c r="O66" s="154">
        <f>SUMIFS('Plan rashoda za unos u SAP'!$I$3:$I$501,'Plan rashoda za unos u SAP'!$C$3:$C$501,"=71",'Plan rashoda za unos u SAP'!$M$3:$M$501,"=544")</f>
        <v>0</v>
      </c>
      <c r="P66" s="154">
        <f>SUMIFS('Plan rashoda za unos u SAP'!$I$3:$I$501,'Plan rashoda za unos u SAP'!$C$3:$C$501,"=81",'Plan rashoda za unos u SAP'!$M$3:$M$501,"=544")</f>
        <v>0</v>
      </c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/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132"/>
      <c r="CM66" s="132"/>
      <c r="CN66" s="132"/>
      <c r="CO66" s="132"/>
      <c r="CP66" s="132"/>
      <c r="CQ66" s="132"/>
      <c r="CR66" s="132"/>
      <c r="CS66" s="132"/>
      <c r="CT66" s="132"/>
      <c r="CU66" s="132"/>
      <c r="CV66" s="132"/>
      <c r="CW66" s="132"/>
      <c r="CX66" s="132"/>
      <c r="CY66" s="132"/>
      <c r="CZ66" s="132"/>
      <c r="DA66" s="132"/>
      <c r="DB66" s="132"/>
      <c r="DC66" s="132"/>
      <c r="DD66" s="132"/>
      <c r="DE66" s="132"/>
      <c r="DF66" s="132"/>
      <c r="DG66" s="132"/>
      <c r="DH66" s="132"/>
      <c r="DI66" s="132"/>
      <c r="DJ66" s="132"/>
      <c r="DK66" s="132"/>
      <c r="DL66" s="132"/>
      <c r="DM66" s="132"/>
      <c r="DN66" s="132"/>
      <c r="DO66" s="132"/>
      <c r="DP66" s="132"/>
      <c r="DQ66" s="132"/>
      <c r="DR66" s="132"/>
      <c r="DS66" s="132"/>
      <c r="DT66" s="132"/>
      <c r="DU66" s="132"/>
      <c r="DV66" s="132"/>
      <c r="DW66" s="132"/>
      <c r="DX66" s="132"/>
      <c r="DY66" s="132"/>
      <c r="DZ66" s="132"/>
      <c r="EA66" s="132"/>
      <c r="EB66" s="132"/>
      <c r="EC66" s="132"/>
      <c r="ED66" s="132"/>
      <c r="EE66" s="132"/>
      <c r="EF66" s="132"/>
      <c r="EG66" s="132"/>
      <c r="EH66" s="132"/>
      <c r="EI66" s="132"/>
      <c r="EJ66" s="132"/>
      <c r="EK66" s="132"/>
      <c r="EL66" s="132"/>
      <c r="EM66" s="132"/>
      <c r="EN66" s="132"/>
      <c r="EO66" s="132"/>
      <c r="EP66" s="132"/>
      <c r="EQ66" s="132"/>
      <c r="ER66" s="132"/>
      <c r="ES66" s="132"/>
      <c r="ET66" s="132"/>
      <c r="EU66" s="132"/>
      <c r="EV66" s="132"/>
      <c r="EW66" s="132"/>
      <c r="EX66" s="132"/>
      <c r="EY66" s="132"/>
      <c r="EZ66" s="132"/>
      <c r="FA66" s="132"/>
      <c r="FB66" s="132"/>
      <c r="FC66" s="132"/>
      <c r="FD66" s="132"/>
      <c r="FE66" s="132"/>
      <c r="FF66" s="132"/>
      <c r="FG66" s="132"/>
      <c r="FH66" s="132"/>
      <c r="FI66" s="132"/>
      <c r="FJ66" s="132"/>
      <c r="FK66" s="132"/>
      <c r="FL66" s="132"/>
      <c r="FM66" s="132"/>
      <c r="FN66" s="132"/>
      <c r="FO66" s="132"/>
      <c r="FP66" s="132"/>
      <c r="FQ66" s="132"/>
      <c r="FR66" s="132"/>
      <c r="FS66" s="132"/>
      <c r="FT66" s="132"/>
      <c r="FU66" s="132"/>
      <c r="FV66" s="132"/>
      <c r="FW66" s="132"/>
      <c r="FX66" s="132"/>
      <c r="FY66" s="132"/>
      <c r="FZ66" s="132"/>
      <c r="GA66" s="132"/>
      <c r="GB66" s="132"/>
      <c r="GC66" s="132"/>
      <c r="GD66" s="132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</row>
    <row r="67" spans="1:256" s="151" customFormat="1" ht="12.6" customHeight="1">
      <c r="A67" s="155">
        <v>545</v>
      </c>
      <c r="B67" s="156" t="s">
        <v>887</v>
      </c>
      <c r="C67" s="147">
        <f t="shared" si="10"/>
        <v>0</v>
      </c>
      <c r="D67" s="154">
        <f>SUMIFS('Plan rashoda za unos u SAP'!$I$3:$I$501,'Plan rashoda za unos u SAP'!$C$3:$C$501,"=11",'Plan rashoda za unos u SAP'!$M$3:$M$501,"=545")</f>
        <v>0</v>
      </c>
      <c r="E67" s="154">
        <f>SUMIFS('Plan rashoda za unos u SAP'!$I$3:$I$501,'Plan rashoda za unos u SAP'!$C$3:$C$501,"=12",'Plan rashoda za unos u SAP'!$M$3:$M$501,"=545")</f>
        <v>0</v>
      </c>
      <c r="F67" s="154">
        <f>SUMIFS('Plan rashoda za unos u SAP'!$I$3:$I$501,'Plan rashoda za unos u SAP'!$C$3:$C$501,"=31",'Plan rashoda za unos u SAP'!$M$3:$M$501,"=545")</f>
        <v>0</v>
      </c>
      <c r="G67" s="154">
        <f>SUMIFS('Plan rashoda za unos u SAP'!$I$3:$I$501,'Plan rashoda za unos u SAP'!$C$3:$C$501,"=43",'Plan rashoda za unos u SAP'!$M$3:$M$501,"=545")</f>
        <v>0</v>
      </c>
      <c r="H67" s="154">
        <f>SUMIFS('Plan rashoda za unos u SAP'!$I$3:$I$501,'Plan rashoda za unos u SAP'!$C$3:$C$501,"=51",'Plan rashoda za unos u SAP'!$M$3:$M$501,"=545")</f>
        <v>0</v>
      </c>
      <c r="I67" s="154">
        <f>SUMIFS('Plan rashoda za unos u SAP'!$I$3:$I$501,'Plan rashoda za unos u SAP'!$C$3:$C$501,"=52",'Plan rashoda za unos u SAP'!$M$3:$M$501,"=545")</f>
        <v>0</v>
      </c>
      <c r="J67" s="154">
        <f>SUMIFS('Plan rashoda za unos u SAP'!$I$3:$I$501,'Plan rashoda za unos u SAP'!$C$3:$C$501,"=559",'Plan rashoda za unos u SAP'!$M$3:$M$501,"=545")</f>
        <v>0</v>
      </c>
      <c r="K67" s="154">
        <f>SUMIFS('Plan rashoda za unos u SAP'!$I$3:$I$501,'Plan rashoda za unos u SAP'!$C$3:$C$501,"=561",'Plan rashoda za unos u SAP'!$M$3:$M$501,"=545")</f>
        <v>0</v>
      </c>
      <c r="L67" s="154">
        <f>SUMIFS('Plan rashoda za unos u SAP'!$I$3:$I$501,'Plan rashoda za unos u SAP'!$C$3:$C$501,"=563",'Plan rashoda za unos u SAP'!$M$3:$M$501,"=545")</f>
        <v>0</v>
      </c>
      <c r="M67" s="154">
        <f>SUMIFS('Plan rashoda za unos u SAP'!$I$3:$I$501,'Plan rashoda za unos u SAP'!$C$3:$C$501,"=61",'Plan rashoda za unos u SAP'!$M$3:$M$501,"=545")</f>
        <v>0</v>
      </c>
      <c r="N67" s="154">
        <f>SUMIFS('Plan rashoda za unos u SAP'!$I$3:$I$501,'Plan rashoda za unos u SAP'!$C$3:$C$501,"=63",'Plan rashoda za unos u SAP'!$M$3:$M$501,"=545")</f>
        <v>0</v>
      </c>
      <c r="O67" s="154">
        <f>SUMIFS('Plan rashoda za unos u SAP'!$I$3:$I$501,'Plan rashoda za unos u SAP'!$C$3:$C$501,"=71",'Plan rashoda za unos u SAP'!$M$3:$M$501,"=545")</f>
        <v>0</v>
      </c>
      <c r="P67" s="154">
        <f>SUMIFS('Plan rashoda za unos u SAP'!$I$3:$I$501,'Plan rashoda za unos u SAP'!$C$3:$C$501,"=81",'Plan rashoda za unos u SAP'!$M$3:$M$501,"=545")</f>
        <v>0</v>
      </c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2"/>
      <c r="CB67" s="132"/>
      <c r="CC67" s="132"/>
      <c r="CD67" s="132"/>
      <c r="CE67" s="132"/>
      <c r="CF67" s="132"/>
      <c r="CG67" s="132"/>
      <c r="CH67" s="132"/>
      <c r="CI67" s="132"/>
      <c r="CJ67" s="132"/>
      <c r="CK67" s="132"/>
      <c r="CL67" s="132"/>
      <c r="CM67" s="132"/>
      <c r="CN67" s="132"/>
      <c r="CO67" s="132"/>
      <c r="CP67" s="132"/>
      <c r="CQ67" s="132"/>
      <c r="CR67" s="132"/>
      <c r="CS67" s="132"/>
      <c r="CT67" s="132"/>
      <c r="CU67" s="132"/>
      <c r="CV67" s="132"/>
      <c r="CW67" s="132"/>
      <c r="CX67" s="132"/>
      <c r="CY67" s="132"/>
      <c r="CZ67" s="132"/>
      <c r="DA67" s="132"/>
      <c r="DB67" s="132"/>
      <c r="DC67" s="132"/>
      <c r="DD67" s="132"/>
      <c r="DE67" s="132"/>
      <c r="DF67" s="132"/>
      <c r="DG67" s="132"/>
      <c r="DH67" s="132"/>
      <c r="DI67" s="132"/>
      <c r="DJ67" s="132"/>
      <c r="DK67" s="132"/>
      <c r="DL67" s="132"/>
      <c r="DM67" s="132"/>
      <c r="DN67" s="132"/>
      <c r="DO67" s="132"/>
      <c r="DP67" s="132"/>
      <c r="DQ67" s="132"/>
      <c r="DR67" s="132"/>
      <c r="DS67" s="132"/>
      <c r="DT67" s="132"/>
      <c r="DU67" s="132"/>
      <c r="DV67" s="132"/>
      <c r="DW67" s="132"/>
      <c r="DX67" s="132"/>
      <c r="DY67" s="132"/>
      <c r="DZ67" s="132"/>
      <c r="EA67" s="132"/>
      <c r="EB67" s="132"/>
      <c r="EC67" s="132"/>
      <c r="ED67" s="132"/>
      <c r="EE67" s="132"/>
      <c r="EF67" s="132"/>
      <c r="EG67" s="132"/>
      <c r="EH67" s="132"/>
      <c r="EI67" s="132"/>
      <c r="EJ67" s="132"/>
      <c r="EK67" s="132"/>
      <c r="EL67" s="132"/>
      <c r="EM67" s="132"/>
      <c r="EN67" s="132"/>
      <c r="EO67" s="132"/>
      <c r="EP67" s="132"/>
      <c r="EQ67" s="132"/>
      <c r="ER67" s="132"/>
      <c r="ES67" s="132"/>
      <c r="ET67" s="132"/>
      <c r="EU67" s="132"/>
      <c r="EV67" s="132"/>
      <c r="EW67" s="132"/>
      <c r="EX67" s="132"/>
      <c r="EY67" s="132"/>
      <c r="EZ67" s="132"/>
      <c r="FA67" s="132"/>
      <c r="FB67" s="132"/>
      <c r="FC67" s="132"/>
      <c r="FD67" s="132"/>
      <c r="FE67" s="132"/>
      <c r="FF67" s="132"/>
      <c r="FG67" s="132"/>
      <c r="FH67" s="132"/>
      <c r="FI67" s="132"/>
      <c r="FJ67" s="132"/>
      <c r="FK67" s="132"/>
      <c r="FL67" s="132"/>
      <c r="FM67" s="132"/>
      <c r="FN67" s="132"/>
      <c r="FO67" s="132"/>
      <c r="FP67" s="132"/>
      <c r="FQ67" s="132"/>
      <c r="FR67" s="132"/>
      <c r="FS67" s="132"/>
      <c r="FT67" s="132"/>
      <c r="FU67" s="132"/>
      <c r="FV67" s="132"/>
      <c r="FW67" s="132"/>
      <c r="FX67" s="132"/>
      <c r="FY67" s="132"/>
      <c r="FZ67" s="132"/>
      <c r="GA67" s="132"/>
      <c r="GB67" s="132"/>
      <c r="GC67" s="132"/>
      <c r="GD67" s="132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</row>
    <row r="68" spans="1:256" s="151" customFormat="1" ht="12.6" customHeight="1">
      <c r="A68" s="155">
        <v>547</v>
      </c>
      <c r="B68" s="156" t="s">
        <v>888</v>
      </c>
      <c r="C68" s="147">
        <f t="shared" ref="C68" si="20">ROUND(SUM(D68:P68),0)</f>
        <v>0</v>
      </c>
      <c r="D68" s="154">
        <f>SUMIFS('Plan rashoda za unos u SAP'!$I$3:$I$501,'Plan rashoda za unos u SAP'!$C$3:$C$501,"=11",'Plan rashoda za unos u SAP'!$M$3:$M$501,"=547")</f>
        <v>0</v>
      </c>
      <c r="E68" s="154">
        <f>SUMIFS('Plan rashoda za unos u SAP'!$I$3:$I$501,'Plan rashoda za unos u SAP'!$C$3:$C$501,"=12",'Plan rashoda za unos u SAP'!$M$3:$M$501,"=547")</f>
        <v>0</v>
      </c>
      <c r="F68" s="154">
        <f>SUMIFS('Plan rashoda za unos u SAP'!$I$3:$I$501,'Plan rashoda za unos u SAP'!$C$3:$C$501,"=31",'Plan rashoda za unos u SAP'!$M$3:$M$501,"=547")</f>
        <v>0</v>
      </c>
      <c r="G68" s="154">
        <f>SUMIFS('Plan rashoda za unos u SAP'!$I$3:$I$501,'Plan rashoda za unos u SAP'!$C$3:$C$501,"=43",'Plan rashoda za unos u SAP'!$M$3:$M$501,"=547")</f>
        <v>0</v>
      </c>
      <c r="H68" s="154">
        <f>SUMIFS('Plan rashoda za unos u SAP'!$I$3:$I$501,'Plan rashoda za unos u SAP'!$C$3:$C$501,"=51",'Plan rashoda za unos u SAP'!$M$3:$M$501,"=547")</f>
        <v>0</v>
      </c>
      <c r="I68" s="154">
        <f>SUMIFS('Plan rashoda za unos u SAP'!$I$3:$I$501,'Plan rashoda za unos u SAP'!$C$3:$C$501,"=52",'Plan rashoda za unos u SAP'!$M$3:$M$501,"=547")</f>
        <v>0</v>
      </c>
      <c r="J68" s="154">
        <f>SUMIFS('Plan rashoda za unos u SAP'!$I$3:$I$501,'Plan rashoda za unos u SAP'!$C$3:$C$501,"=559",'Plan rashoda za unos u SAP'!$M$3:$M$501,"=547")</f>
        <v>0</v>
      </c>
      <c r="K68" s="154">
        <f>SUMIFS('Plan rashoda za unos u SAP'!$I$3:$I$501,'Plan rashoda za unos u SAP'!$C$3:$C$501,"=561",'Plan rashoda za unos u SAP'!$M$3:$M$501,"=547")</f>
        <v>0</v>
      </c>
      <c r="L68" s="154">
        <f>SUMIFS('Plan rashoda za unos u SAP'!$I$3:$I$501,'Plan rashoda za unos u SAP'!$C$3:$C$501,"=563",'Plan rashoda za unos u SAP'!$M$3:$M$501,"=547")</f>
        <v>0</v>
      </c>
      <c r="M68" s="154">
        <f>SUMIFS('Plan rashoda za unos u SAP'!$I$3:$I$501,'Plan rashoda za unos u SAP'!$C$3:$C$501,"=61",'Plan rashoda za unos u SAP'!$M$3:$M$501,"=547")</f>
        <v>0</v>
      </c>
      <c r="N68" s="154">
        <f>SUMIFS('Plan rashoda za unos u SAP'!$I$3:$I$501,'Plan rashoda za unos u SAP'!$C$3:$C$501,"=63",'Plan rashoda za unos u SAP'!$M$3:$M$501,"=547")</f>
        <v>0</v>
      </c>
      <c r="O68" s="154">
        <f>SUMIFS('Plan rashoda za unos u SAP'!$I$3:$I$501,'Plan rashoda za unos u SAP'!$C$3:$C$501,"=71",'Plan rashoda za unos u SAP'!$M$3:$M$501,"=547")</f>
        <v>0</v>
      </c>
      <c r="P68" s="154">
        <f>SUMIFS('Plan rashoda za unos u SAP'!$I$3:$I$501,'Plan rashoda za unos u SAP'!$C$3:$C$501,"=81",'Plan rashoda za unos u SAP'!$M$3:$M$501,"=547")</f>
        <v>0</v>
      </c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132"/>
      <c r="CR68" s="132"/>
      <c r="CS68" s="132"/>
      <c r="CT68" s="132"/>
      <c r="CU68" s="132"/>
      <c r="CV68" s="132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2"/>
      <c r="FX68" s="132"/>
      <c r="FY68" s="132"/>
      <c r="FZ68" s="132"/>
      <c r="GA68" s="132"/>
      <c r="GB68" s="132"/>
      <c r="GC68" s="132"/>
      <c r="GD68" s="132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</row>
    <row r="69" spans="1:256" s="132" customFormat="1" ht="13.8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</row>
    <row r="70" spans="1:256" s="134" customFormat="1" ht="71.400000000000006" customHeight="1">
      <c r="A70" s="87" t="s">
        <v>831</v>
      </c>
      <c r="B70" s="87" t="s">
        <v>832</v>
      </c>
      <c r="C70" s="87" t="s">
        <v>889</v>
      </c>
      <c r="D70" s="87" t="s">
        <v>834</v>
      </c>
      <c r="E70" s="87" t="s">
        <v>765</v>
      </c>
      <c r="F70" s="87" t="s">
        <v>766</v>
      </c>
      <c r="G70" s="87" t="s">
        <v>767</v>
      </c>
      <c r="H70" s="87" t="s">
        <v>768</v>
      </c>
      <c r="I70" s="87" t="s">
        <v>769</v>
      </c>
      <c r="J70" s="87" t="s">
        <v>770</v>
      </c>
      <c r="K70" s="87" t="s">
        <v>771</v>
      </c>
      <c r="L70" s="87" t="s">
        <v>772</v>
      </c>
      <c r="M70" s="87" t="s">
        <v>773</v>
      </c>
      <c r="N70" s="87" t="s">
        <v>774</v>
      </c>
      <c r="O70" s="87" t="s">
        <v>890</v>
      </c>
      <c r="P70" s="87" t="s">
        <v>776</v>
      </c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</row>
    <row r="71" spans="1:256" s="139" customFormat="1" ht="19.5" customHeight="1">
      <c r="A71" s="135"/>
      <c r="B71" s="135" t="s">
        <v>836</v>
      </c>
      <c r="C71" s="136">
        <f>SUM(D71:P71)</f>
        <v>5562622</v>
      </c>
      <c r="D71" s="137">
        <f t="shared" ref="D71:P71" si="21">+D72+D80+D86</f>
        <v>5482922</v>
      </c>
      <c r="E71" s="137">
        <f t="shared" si="21"/>
        <v>0</v>
      </c>
      <c r="F71" s="137">
        <f t="shared" si="21"/>
        <v>12700</v>
      </c>
      <c r="G71" s="137">
        <f t="shared" si="21"/>
        <v>0</v>
      </c>
      <c r="H71" s="137">
        <f t="shared" si="21"/>
        <v>0</v>
      </c>
      <c r="I71" s="137">
        <f t="shared" si="21"/>
        <v>50000</v>
      </c>
      <c r="J71" s="137">
        <f t="shared" si="21"/>
        <v>0</v>
      </c>
      <c r="K71" s="137">
        <f t="shared" si="21"/>
        <v>0</v>
      </c>
      <c r="L71" s="137">
        <f t="shared" si="21"/>
        <v>0</v>
      </c>
      <c r="M71" s="137">
        <f t="shared" si="21"/>
        <v>17000</v>
      </c>
      <c r="N71" s="137">
        <f t="shared" si="21"/>
        <v>0</v>
      </c>
      <c r="O71" s="137">
        <f t="shared" si="21"/>
        <v>0</v>
      </c>
      <c r="P71" s="137">
        <f t="shared" si="21"/>
        <v>0</v>
      </c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138"/>
      <c r="AH71" s="138"/>
      <c r="AI71" s="138"/>
      <c r="AJ71" s="138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79"/>
      <c r="EP71" s="79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138"/>
      <c r="GF71" s="138"/>
      <c r="GG71" s="138"/>
      <c r="GH71" s="138"/>
      <c r="GI71" s="138"/>
      <c r="GJ71" s="138"/>
      <c r="GK71" s="138"/>
      <c r="GL71" s="138"/>
      <c r="GM71" s="138"/>
      <c r="GN71" s="138"/>
      <c r="GO71" s="138"/>
      <c r="GP71" s="138"/>
      <c r="GQ71" s="138"/>
      <c r="GR71" s="138"/>
      <c r="GS71" s="138"/>
      <c r="GT71" s="138"/>
      <c r="GU71" s="138"/>
      <c r="GV71" s="138"/>
      <c r="GW71" s="138"/>
      <c r="GX71" s="138"/>
      <c r="GY71" s="138"/>
      <c r="GZ71" s="138"/>
      <c r="HA71" s="138"/>
      <c r="HB71" s="138"/>
      <c r="HC71" s="138"/>
      <c r="HD71" s="138"/>
      <c r="HE71" s="138"/>
      <c r="HF71" s="138"/>
      <c r="HG71" s="138"/>
      <c r="HH71" s="138"/>
      <c r="HI71" s="138"/>
      <c r="HJ71" s="138"/>
      <c r="HK71" s="138"/>
      <c r="HL71" s="138"/>
      <c r="HM71" s="138"/>
      <c r="HN71" s="138"/>
      <c r="HO71" s="138"/>
      <c r="HP71" s="138"/>
      <c r="HQ71" s="138"/>
      <c r="HR71" s="138"/>
      <c r="HS71" s="138"/>
      <c r="HT71" s="138"/>
      <c r="HU71" s="138"/>
      <c r="HV71" s="138"/>
      <c r="HW71" s="138"/>
      <c r="HX71" s="138"/>
      <c r="HY71" s="138"/>
      <c r="HZ71" s="138"/>
      <c r="IA71" s="138"/>
      <c r="IB71" s="138"/>
      <c r="IC71" s="138"/>
      <c r="ID71" s="138"/>
      <c r="IE71" s="138"/>
      <c r="IF71" s="138"/>
      <c r="IG71" s="138"/>
      <c r="IH71" s="138"/>
      <c r="II71" s="138"/>
      <c r="IJ71" s="138"/>
      <c r="IK71" s="138"/>
      <c r="IL71" s="138"/>
      <c r="IM71" s="138"/>
      <c r="IN71" s="138"/>
      <c r="IO71" s="138"/>
      <c r="IP71" s="138"/>
      <c r="IQ71" s="138"/>
      <c r="IR71" s="138"/>
      <c r="IS71" s="138"/>
      <c r="IT71" s="138"/>
      <c r="IU71" s="138"/>
      <c r="IV71" s="138"/>
    </row>
    <row r="72" spans="1:256" s="144" customFormat="1" ht="12.6" customHeight="1">
      <c r="A72" s="140">
        <v>3</v>
      </c>
      <c r="B72" s="141" t="s">
        <v>837</v>
      </c>
      <c r="C72" s="142">
        <f t="shared" ref="C72:C88" si="22">ROUND(SUM(D72:P72),0)</f>
        <v>5562622</v>
      </c>
      <c r="D72" s="172">
        <f t="shared" ref="D72:P72" si="23">SUM(D73:D79)</f>
        <v>5482922</v>
      </c>
      <c r="E72" s="172">
        <f t="shared" si="23"/>
        <v>0</v>
      </c>
      <c r="F72" s="172">
        <f t="shared" si="23"/>
        <v>12700</v>
      </c>
      <c r="G72" s="172">
        <f t="shared" si="23"/>
        <v>0</v>
      </c>
      <c r="H72" s="172">
        <f t="shared" si="23"/>
        <v>0</v>
      </c>
      <c r="I72" s="172">
        <f t="shared" si="23"/>
        <v>50000</v>
      </c>
      <c r="J72" s="172">
        <f t="shared" si="23"/>
        <v>0</v>
      </c>
      <c r="K72" s="172">
        <f t="shared" si="23"/>
        <v>0</v>
      </c>
      <c r="L72" s="172">
        <f t="shared" si="23"/>
        <v>0</v>
      </c>
      <c r="M72" s="172">
        <f t="shared" si="23"/>
        <v>17000</v>
      </c>
      <c r="N72" s="172">
        <f t="shared" si="23"/>
        <v>0</v>
      </c>
      <c r="O72" s="172">
        <f t="shared" si="23"/>
        <v>0</v>
      </c>
      <c r="P72" s="172">
        <f t="shared" si="23"/>
        <v>0</v>
      </c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  <c r="CM72" s="132"/>
      <c r="CN72" s="132"/>
      <c r="CO72" s="132"/>
      <c r="CP72" s="132"/>
      <c r="CQ72" s="132"/>
      <c r="CR72" s="132"/>
      <c r="CS72" s="132"/>
      <c r="CT72" s="132"/>
      <c r="CU72" s="132"/>
      <c r="CV72" s="132"/>
      <c r="CW72" s="132"/>
      <c r="CX72" s="132"/>
      <c r="CY72" s="132"/>
      <c r="CZ72" s="132"/>
      <c r="DA72" s="132"/>
      <c r="DB72" s="132"/>
      <c r="DC72" s="132"/>
      <c r="DD72" s="132"/>
      <c r="DE72" s="132"/>
      <c r="DF72" s="132"/>
      <c r="DG72" s="132"/>
      <c r="DH72" s="132"/>
      <c r="DI72" s="132"/>
      <c r="DJ72" s="132"/>
      <c r="DK72" s="132"/>
      <c r="DL72" s="132"/>
      <c r="DM72" s="132"/>
      <c r="DN72" s="132"/>
      <c r="DO72" s="132"/>
      <c r="DP72" s="132"/>
      <c r="DQ72" s="132"/>
      <c r="DR72" s="132"/>
      <c r="DS72" s="132"/>
      <c r="DT72" s="132"/>
      <c r="DU72" s="132"/>
      <c r="DV72" s="132"/>
      <c r="DW72" s="132"/>
      <c r="DX72" s="132"/>
      <c r="DY72" s="132"/>
      <c r="DZ72" s="132"/>
      <c r="EA72" s="132"/>
      <c r="EB72" s="132"/>
      <c r="EC72" s="132"/>
      <c r="ED72" s="132"/>
      <c r="EE72" s="132"/>
      <c r="EF72" s="132"/>
      <c r="EG72" s="132"/>
      <c r="EH72" s="132"/>
      <c r="EI72" s="132"/>
      <c r="EJ72" s="132"/>
      <c r="EK72" s="132"/>
      <c r="EL72" s="132"/>
      <c r="EM72" s="132"/>
      <c r="EN72" s="132"/>
      <c r="EO72" s="132"/>
      <c r="EP72" s="132"/>
      <c r="EQ72" s="132"/>
      <c r="ER72" s="132"/>
      <c r="ES72" s="132"/>
      <c r="ET72" s="132"/>
      <c r="EU72" s="132"/>
      <c r="EV72" s="132"/>
      <c r="EW72" s="132"/>
      <c r="EX72" s="132"/>
      <c r="EY72" s="132"/>
      <c r="EZ72" s="132"/>
      <c r="FA72" s="132"/>
      <c r="FB72" s="132"/>
      <c r="FC72" s="132"/>
      <c r="FD72" s="132"/>
      <c r="FE72" s="132"/>
      <c r="FF72" s="132"/>
      <c r="FG72" s="132"/>
      <c r="FH72" s="132"/>
      <c r="FI72" s="132"/>
      <c r="FJ72" s="132"/>
      <c r="FK72" s="132"/>
      <c r="FL72" s="132"/>
      <c r="FM72" s="132"/>
      <c r="FN72" s="132"/>
      <c r="FO72" s="132"/>
      <c r="FP72" s="132"/>
      <c r="FQ72" s="132"/>
      <c r="FR72" s="132"/>
      <c r="FS72" s="132"/>
      <c r="FT72" s="132"/>
      <c r="FU72" s="132"/>
      <c r="FV72" s="132"/>
      <c r="FW72" s="132"/>
      <c r="FX72" s="132"/>
      <c r="FY72" s="132"/>
      <c r="FZ72" s="132"/>
      <c r="GA72" s="132"/>
      <c r="GB72" s="132"/>
      <c r="GC72" s="132"/>
      <c r="GD72" s="132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</row>
    <row r="73" spans="1:256" s="151" customFormat="1" ht="12.6" customHeight="1">
      <c r="A73" s="145">
        <v>31</v>
      </c>
      <c r="B73" s="146" t="s">
        <v>838</v>
      </c>
      <c r="C73" s="173">
        <f t="shared" si="22"/>
        <v>4677908</v>
      </c>
      <c r="D73" s="154">
        <f>SUMIFS('Plan rashoda za unos u SAP'!$J$3:$J$501,'Plan rashoda za unos u SAP'!$C$3:$C$501,"=11",'Plan rashoda za unos u SAP'!$N$3:$N$501,"=31")</f>
        <v>4677908</v>
      </c>
      <c r="E73" s="154">
        <f>SUMIFS('Plan rashoda za unos u SAP'!$J$3:$J$501,'Plan rashoda za unos u SAP'!$C$3:$C$501,"=12",'Plan rashoda za unos u SAP'!$N$3:$N$501,"=31")</f>
        <v>0</v>
      </c>
      <c r="F73" s="154">
        <f>SUMIFS('Plan rashoda za unos u SAP'!$J$3:$J$501,'Plan rashoda za unos u SAP'!$C$3:$C$501,"=31",'Plan rashoda za unos u SAP'!$N$3:$N$501,"=31")</f>
        <v>0</v>
      </c>
      <c r="G73" s="154">
        <f>SUMIFS('Plan rashoda za unos u SAP'!$J$3:$J$501,'Plan rashoda za unos u SAP'!$C$3:$C$501,"=43",'Plan rashoda za unos u SAP'!$N$3:$N$501,"=31")</f>
        <v>0</v>
      </c>
      <c r="H73" s="154">
        <f>SUMIFS('Plan rashoda za unos u SAP'!$J$3:$J$501,'Plan rashoda za unos u SAP'!$C$3:$C$501,"=51",'Plan rashoda za unos u SAP'!$N$3:$N$501,"=31")</f>
        <v>0</v>
      </c>
      <c r="I73" s="154">
        <f>SUMIFS('Plan rashoda za unos u SAP'!$J$3:$J$501,'Plan rashoda za unos u SAP'!$C$3:$C$501,"=52",'Plan rashoda za unos u SAP'!$N$3:$N$501,"=31")</f>
        <v>0</v>
      </c>
      <c r="J73" s="154">
        <f>SUMIFS('Plan rashoda za unos u SAP'!$J$3:$J$501,'Plan rashoda za unos u SAP'!$C$3:$C$501,"=559",'Plan rashoda za unos u SAP'!$N$3:$N$501,"=31")</f>
        <v>0</v>
      </c>
      <c r="K73" s="154">
        <f>SUMIFS('Plan rashoda za unos u SAP'!$J$3:$J$501,'Plan rashoda za unos u SAP'!$C$3:$C$501,"=561",'Plan rashoda za unos u SAP'!$N$3:$N$501,"=31")</f>
        <v>0</v>
      </c>
      <c r="L73" s="154">
        <f>SUMIFS('Plan rashoda za unos u SAP'!$J$3:$J$501,'Plan rashoda za unos u SAP'!$C$3:$C$501,"=563",'Plan rashoda za unos u SAP'!$N$3:$N$501,"=31")</f>
        <v>0</v>
      </c>
      <c r="M73" s="154">
        <f>SUMIFS('Plan rashoda za unos u SAP'!$J$3:$J$501,'Plan rashoda za unos u SAP'!$C$3:$C$501,"=61",'Plan rashoda za unos u SAP'!$N$3:$N$501,"=31")</f>
        <v>0</v>
      </c>
      <c r="N73" s="154">
        <f>SUMIFS('Plan rashoda za unos u SAP'!$J$3:$J$501,'Plan rashoda za unos u SAP'!$C$3:$C$501,"=63",'Plan rashoda za unos u SAP'!$N$3:$N$501,"=31")</f>
        <v>0</v>
      </c>
      <c r="O73" s="154">
        <f>SUMIFS('Plan rashoda za unos u SAP'!$J$3:$J$501,'Plan rashoda za unos u SAP'!$C$3:$C$501,"=71",'Plan rashoda za unos u SAP'!$N$3:$N$501,"=31")</f>
        <v>0</v>
      </c>
      <c r="P73" s="154">
        <f>SUMIFS('Plan rashoda za unos u SAP'!$J$3:$J$501,'Plan rashoda za unos u SAP'!$C$3:$C$501,"=81",'Plan rashoda za unos u SAP'!$N$3:$N$501,"=31")</f>
        <v>0</v>
      </c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  <c r="BN73" s="159"/>
      <c r="BO73" s="159"/>
      <c r="BP73" s="159"/>
      <c r="BQ73" s="159"/>
      <c r="BR73" s="159"/>
      <c r="BS73" s="159"/>
      <c r="BT73" s="159"/>
      <c r="BU73" s="159"/>
      <c r="BV73" s="159"/>
      <c r="BW73" s="159"/>
      <c r="BX73" s="159"/>
      <c r="BY73" s="159"/>
      <c r="BZ73" s="159"/>
      <c r="CA73" s="159"/>
      <c r="CB73" s="159"/>
      <c r="CC73" s="159"/>
      <c r="CD73" s="159"/>
      <c r="CE73" s="159"/>
      <c r="CF73" s="159"/>
      <c r="CG73" s="159"/>
      <c r="CH73" s="159"/>
      <c r="CI73" s="159"/>
      <c r="CJ73" s="159"/>
      <c r="CK73" s="159"/>
      <c r="CL73" s="159"/>
      <c r="CM73" s="159"/>
      <c r="CN73" s="159"/>
      <c r="CO73" s="159"/>
      <c r="CP73" s="159"/>
      <c r="CQ73" s="159"/>
      <c r="CR73" s="159"/>
      <c r="CS73" s="159"/>
      <c r="CT73" s="159"/>
      <c r="CU73" s="159"/>
      <c r="CV73" s="159"/>
      <c r="CW73" s="159"/>
      <c r="CX73" s="159"/>
      <c r="CY73" s="159"/>
      <c r="CZ73" s="159"/>
      <c r="DA73" s="159"/>
      <c r="DB73" s="159"/>
      <c r="DC73" s="159"/>
      <c r="DD73" s="159"/>
      <c r="DE73" s="159"/>
      <c r="DF73" s="159"/>
      <c r="DG73" s="159"/>
      <c r="DH73" s="159"/>
      <c r="DI73" s="159"/>
      <c r="DJ73" s="159"/>
      <c r="DK73" s="159"/>
      <c r="DL73" s="159"/>
      <c r="DM73" s="159"/>
      <c r="DN73" s="159"/>
      <c r="DO73" s="159"/>
      <c r="DP73" s="159"/>
      <c r="DQ73" s="159"/>
      <c r="DR73" s="159"/>
      <c r="DS73" s="159"/>
      <c r="DT73" s="159"/>
      <c r="DU73" s="159"/>
      <c r="DV73" s="159"/>
      <c r="DW73" s="159"/>
      <c r="DX73" s="159"/>
      <c r="DY73" s="159"/>
      <c r="DZ73" s="159"/>
      <c r="EA73" s="159"/>
      <c r="EB73" s="159"/>
      <c r="EC73" s="159"/>
      <c r="ED73" s="159"/>
      <c r="EE73" s="159"/>
      <c r="EF73" s="159"/>
      <c r="EG73" s="159"/>
      <c r="EH73" s="159"/>
      <c r="EI73" s="159"/>
      <c r="EJ73" s="159"/>
      <c r="EK73" s="159"/>
      <c r="EL73" s="159"/>
      <c r="EM73" s="159"/>
      <c r="EN73" s="159"/>
      <c r="EO73" s="159"/>
      <c r="EP73" s="159"/>
      <c r="EQ73" s="159"/>
      <c r="ER73" s="159"/>
      <c r="ES73" s="159"/>
      <c r="ET73" s="159"/>
      <c r="EU73" s="159"/>
      <c r="EV73" s="159"/>
      <c r="EW73" s="159"/>
      <c r="EX73" s="159"/>
      <c r="EY73" s="159"/>
      <c r="EZ73" s="159"/>
      <c r="FA73" s="159"/>
      <c r="FB73" s="159"/>
      <c r="FC73" s="159"/>
      <c r="FD73" s="159"/>
      <c r="FE73" s="159"/>
      <c r="FF73" s="159"/>
      <c r="FG73" s="159"/>
      <c r="FH73" s="159"/>
      <c r="FI73" s="159"/>
      <c r="FJ73" s="159"/>
      <c r="FK73" s="159"/>
      <c r="FL73" s="159"/>
      <c r="FM73" s="159"/>
      <c r="FN73" s="159"/>
      <c r="FO73" s="159"/>
      <c r="FP73" s="159"/>
      <c r="FQ73" s="159"/>
      <c r="FR73" s="159"/>
      <c r="FS73" s="159"/>
      <c r="FT73" s="159"/>
      <c r="FU73" s="159"/>
      <c r="FV73" s="159"/>
      <c r="FW73" s="159"/>
      <c r="FX73" s="159"/>
      <c r="FY73" s="159"/>
      <c r="FZ73" s="159"/>
      <c r="GA73" s="159"/>
      <c r="GB73" s="159"/>
      <c r="GC73" s="159"/>
      <c r="GD73" s="159"/>
      <c r="GE73" s="160"/>
      <c r="GF73" s="160"/>
      <c r="GG73" s="160"/>
      <c r="GH73" s="160"/>
      <c r="GI73" s="160"/>
      <c r="GJ73" s="160"/>
      <c r="GK73" s="160"/>
      <c r="GL73" s="160"/>
      <c r="GM73" s="160"/>
      <c r="GN73" s="160"/>
      <c r="GO73" s="160"/>
      <c r="GP73" s="160"/>
      <c r="GQ73" s="160"/>
      <c r="GR73" s="160"/>
      <c r="GS73" s="160"/>
      <c r="GT73" s="160"/>
      <c r="GU73" s="160"/>
      <c r="GV73" s="160"/>
      <c r="GW73" s="160"/>
      <c r="GX73" s="160"/>
      <c r="GY73" s="160"/>
      <c r="GZ73" s="160"/>
      <c r="HA73" s="160"/>
      <c r="HB73" s="160"/>
      <c r="HC73" s="160"/>
      <c r="HD73" s="160"/>
      <c r="HE73" s="160"/>
      <c r="HF73" s="160"/>
      <c r="HG73" s="160"/>
      <c r="HH73" s="160"/>
      <c r="HI73" s="160"/>
      <c r="HJ73" s="160"/>
      <c r="HK73" s="160"/>
      <c r="HL73" s="160"/>
      <c r="HM73" s="160"/>
      <c r="HN73" s="160"/>
      <c r="HO73" s="160"/>
      <c r="HP73" s="160"/>
      <c r="HQ73" s="160"/>
      <c r="HR73" s="160"/>
      <c r="HS73" s="160"/>
      <c r="HT73" s="160"/>
      <c r="HU73" s="160"/>
      <c r="HV73" s="160"/>
      <c r="HW73" s="160"/>
      <c r="HX73" s="160"/>
      <c r="HY73" s="160"/>
      <c r="HZ73" s="160"/>
      <c r="IA73" s="160"/>
      <c r="IB73" s="160"/>
      <c r="IC73" s="160"/>
      <c r="ID73" s="160"/>
      <c r="IE73" s="160"/>
      <c r="IF73" s="160"/>
      <c r="IG73" s="160"/>
      <c r="IH73" s="160"/>
      <c r="II73" s="160"/>
      <c r="IJ73" s="160"/>
      <c r="IK73" s="160"/>
      <c r="IL73" s="160"/>
      <c r="IM73" s="160"/>
      <c r="IN73" s="160"/>
      <c r="IO73" s="160"/>
      <c r="IP73" s="160"/>
      <c r="IQ73" s="160"/>
      <c r="IR73" s="160"/>
      <c r="IS73" s="160"/>
      <c r="IT73" s="160"/>
      <c r="IU73" s="160"/>
      <c r="IV73" s="160"/>
    </row>
    <row r="74" spans="1:256" s="159" customFormat="1" ht="12.6" customHeight="1">
      <c r="A74" s="157">
        <v>32</v>
      </c>
      <c r="B74" s="158" t="s">
        <v>841</v>
      </c>
      <c r="C74" s="174">
        <f t="shared" si="22"/>
        <v>884714</v>
      </c>
      <c r="D74" s="154">
        <f>SUMIFS('Plan rashoda za unos u SAP'!$J$3:$J$501,'Plan rashoda za unos u SAP'!$C$3:$C$501,"=11",'Plan rashoda za unos u SAP'!$N$3:$N$501,"=32")</f>
        <v>805014</v>
      </c>
      <c r="E74" s="154">
        <f>SUMIFS('Plan rashoda za unos u SAP'!$J$3:$J$501,'Plan rashoda za unos u SAP'!$C$3:$C$501,"=12",'Plan rashoda za unos u SAP'!$N$3:$N$501,"=32")</f>
        <v>0</v>
      </c>
      <c r="F74" s="154">
        <f>SUMIFS('Plan rashoda za unos u SAP'!$J$3:$J$501,'Plan rashoda za unos u SAP'!$C$3:$C$501,"=31",'Plan rashoda za unos u SAP'!$N$3:$N$501,"=32")</f>
        <v>12700</v>
      </c>
      <c r="G74" s="154">
        <f>SUMIFS('Plan rashoda za unos u SAP'!$J$3:$J$501,'Plan rashoda za unos u SAP'!$C$3:$C$501,"=43",'Plan rashoda za unos u SAP'!$N$3:$N$501,"=32")</f>
        <v>0</v>
      </c>
      <c r="H74" s="154">
        <f>SUMIFS('Plan rashoda za unos u SAP'!$J$3:$J$501,'Plan rashoda za unos u SAP'!$C$3:$C$501,"=51",'Plan rashoda za unos u SAP'!$N$3:$N$501,"=32")</f>
        <v>0</v>
      </c>
      <c r="I74" s="154">
        <f>SUMIFS('Plan rashoda za unos u SAP'!$J$3:$J$501,'Plan rashoda za unos u SAP'!$C$3:$C$501,"=52",'Plan rashoda za unos u SAP'!$N$3:$N$501,"=32")</f>
        <v>50000</v>
      </c>
      <c r="J74" s="154">
        <f>SUMIFS('Plan rashoda za unos u SAP'!$J$3:$J$501,'Plan rashoda za unos u SAP'!$C$3:$C$501,"=559",'Plan rashoda za unos u SAP'!$N$3:$N$501,"=32")</f>
        <v>0</v>
      </c>
      <c r="K74" s="154">
        <f>SUMIFS('Plan rashoda za unos u SAP'!$J$3:$J$501,'Plan rashoda za unos u SAP'!$C$3:$C$501,"=561",'Plan rashoda za unos u SAP'!$N$3:$N$501,"=32")</f>
        <v>0</v>
      </c>
      <c r="L74" s="154">
        <f>SUMIFS('Plan rashoda za unos u SAP'!$J$3:$J$501,'Plan rashoda za unos u SAP'!$C$3:$C$501,"=563",'Plan rashoda za unos u SAP'!$N$3:$N$501,"=32")</f>
        <v>0</v>
      </c>
      <c r="M74" s="154">
        <f>SUMIFS('Plan rashoda za unos u SAP'!$J$3:$J$501,'Plan rashoda za unos u SAP'!$C$3:$C$501,"=61",'Plan rashoda za unos u SAP'!$N$3:$N$501,"=32")</f>
        <v>17000</v>
      </c>
      <c r="N74" s="154">
        <f>SUMIFS('Plan rashoda za unos u SAP'!$J$3:$J$501,'Plan rashoda za unos u SAP'!$C$3:$C$501,"=63",'Plan rashoda za unos u SAP'!$N$3:$N$501,"=32")</f>
        <v>0</v>
      </c>
      <c r="O74" s="154">
        <f>SUMIFS('Plan rashoda za unos u SAP'!$J$3:$J$501,'Plan rashoda za unos u SAP'!$C$3:$C$501,"=71",'Plan rashoda za unos u SAP'!$N$3:$N$501,"=32")</f>
        <v>0</v>
      </c>
      <c r="P74" s="154">
        <f>SUMIFS('Plan rashoda za unos u SAP'!$J$3:$J$501,'Plan rashoda za unos u SAP'!$C$3:$C$501,"=81",'Plan rashoda za unos u SAP'!$N$3:$N$501,"=32")</f>
        <v>0</v>
      </c>
      <c r="GE74" s="160"/>
      <c r="GF74" s="160"/>
      <c r="GG74" s="160"/>
      <c r="GH74" s="160"/>
      <c r="GI74" s="160"/>
      <c r="GJ74" s="160"/>
      <c r="GK74" s="160"/>
      <c r="GL74" s="160"/>
      <c r="GM74" s="160"/>
      <c r="GN74" s="160"/>
      <c r="GO74" s="160"/>
      <c r="GP74" s="160"/>
      <c r="GQ74" s="160"/>
      <c r="GR74" s="160"/>
      <c r="GS74" s="160"/>
      <c r="GT74" s="160"/>
      <c r="GU74" s="160"/>
      <c r="GV74" s="160"/>
      <c r="GW74" s="160"/>
      <c r="GX74" s="160"/>
      <c r="GY74" s="160"/>
      <c r="GZ74" s="160"/>
      <c r="HA74" s="160"/>
      <c r="HB74" s="160"/>
      <c r="HC74" s="160"/>
      <c r="HD74" s="160"/>
      <c r="HE74" s="160"/>
      <c r="HF74" s="160"/>
      <c r="HG74" s="160"/>
      <c r="HH74" s="160"/>
      <c r="HI74" s="160"/>
      <c r="HJ74" s="160"/>
      <c r="HK74" s="160"/>
      <c r="HL74" s="160"/>
      <c r="HM74" s="160"/>
      <c r="HN74" s="160"/>
      <c r="HO74" s="160"/>
      <c r="HP74" s="160"/>
      <c r="HQ74" s="160"/>
      <c r="HR74" s="160"/>
      <c r="HS74" s="160"/>
      <c r="HT74" s="160"/>
      <c r="HU74" s="160"/>
      <c r="HV74" s="160"/>
      <c r="HW74" s="160"/>
      <c r="HX74" s="160"/>
      <c r="HY74" s="160"/>
      <c r="HZ74" s="160"/>
      <c r="IA74" s="160"/>
      <c r="IB74" s="160"/>
      <c r="IC74" s="160"/>
      <c r="ID74" s="160"/>
      <c r="IE74" s="160"/>
      <c r="IF74" s="160"/>
      <c r="IG74" s="160"/>
      <c r="IH74" s="160"/>
      <c r="II74" s="160"/>
      <c r="IJ74" s="160"/>
      <c r="IK74" s="160"/>
      <c r="IL74" s="160"/>
      <c r="IM74" s="160"/>
      <c r="IN74" s="160"/>
      <c r="IO74" s="160"/>
      <c r="IP74" s="160"/>
      <c r="IQ74" s="160"/>
      <c r="IR74" s="160"/>
      <c r="IS74" s="160"/>
      <c r="IT74" s="160"/>
      <c r="IU74" s="160"/>
      <c r="IV74" s="160"/>
    </row>
    <row r="75" spans="1:256" s="162" customFormat="1" ht="12.6" customHeight="1">
      <c r="A75" s="157">
        <v>34</v>
      </c>
      <c r="B75" s="158" t="s">
        <v>845</v>
      </c>
      <c r="C75" s="174">
        <f t="shared" si="22"/>
        <v>0</v>
      </c>
      <c r="D75" s="154">
        <f>SUMIFS('Plan rashoda za unos u SAP'!$J$3:$J$501,'Plan rashoda za unos u SAP'!$C$3:$C$501,"=11",'Plan rashoda za unos u SAP'!$N$3:$N$501,"=34")</f>
        <v>0</v>
      </c>
      <c r="E75" s="154">
        <f>SUMIFS('Plan rashoda za unos u SAP'!$J$3:$J$501,'Plan rashoda za unos u SAP'!$C$3:$C$501,"=12",'Plan rashoda za unos u SAP'!$N$3:$N$501,"=34")</f>
        <v>0</v>
      </c>
      <c r="F75" s="154">
        <f>SUMIFS('Plan rashoda za unos u SAP'!$J$3:$J$501,'Plan rashoda za unos u SAP'!$C$3:$C$501,"=31",'Plan rashoda za unos u SAP'!$N$3:$N$501,"=34")</f>
        <v>0</v>
      </c>
      <c r="G75" s="154">
        <f>SUMIFS('Plan rashoda za unos u SAP'!$J$3:$J$501,'Plan rashoda za unos u SAP'!$C$3:$C$501,"=43",'Plan rashoda za unos u SAP'!$N$3:$N$501,"=34")</f>
        <v>0</v>
      </c>
      <c r="H75" s="154">
        <f>SUMIFS('Plan rashoda za unos u SAP'!$J$3:$J$501,'Plan rashoda za unos u SAP'!$C$3:$C$501,"=51",'Plan rashoda za unos u SAP'!$N$3:$N$501,"=34")</f>
        <v>0</v>
      </c>
      <c r="I75" s="154">
        <f>SUMIFS('Plan rashoda za unos u SAP'!$J$3:$J$501,'Plan rashoda za unos u SAP'!$C$3:$C$501,"=52",'Plan rashoda za unos u SAP'!$N$3:$N$501,"=34")</f>
        <v>0</v>
      </c>
      <c r="J75" s="154">
        <f>SUMIFS('Plan rashoda za unos u SAP'!$J$3:$J$501,'Plan rashoda za unos u SAP'!$C$3:$C$501,"=559",'Plan rashoda za unos u SAP'!$N$3:$N$501,"=34")</f>
        <v>0</v>
      </c>
      <c r="K75" s="154">
        <f>SUMIFS('Plan rashoda za unos u SAP'!$J$3:$J$501,'Plan rashoda za unos u SAP'!$C$3:$C$501,"=561",'Plan rashoda za unos u SAP'!$N$3:$N$501,"=34")</f>
        <v>0</v>
      </c>
      <c r="L75" s="154">
        <f>SUMIFS('Plan rashoda za unos u SAP'!$J$3:$J$501,'Plan rashoda za unos u SAP'!$C$3:$C$501,"=563",'Plan rashoda za unos u SAP'!$N$3:$N$501,"=34")</f>
        <v>0</v>
      </c>
      <c r="M75" s="154">
        <f>SUMIFS('Plan rashoda za unos u SAP'!$J$3:$J$501,'Plan rashoda za unos u SAP'!$C$3:$C$501,"=61",'Plan rashoda za unos u SAP'!$N$3:$N$501,"=34")</f>
        <v>0</v>
      </c>
      <c r="N75" s="154">
        <f>SUMIFS('Plan rashoda za unos u SAP'!$J$3:$J$501,'Plan rashoda za unos u SAP'!$C$3:$C$501,"=63",'Plan rashoda za unos u SAP'!$N$3:$N$501,"=34")</f>
        <v>0</v>
      </c>
      <c r="O75" s="154">
        <f>SUMIFS('Plan rashoda za unos u SAP'!$J$3:$J$501,'Plan rashoda za unos u SAP'!$C$3:$C$501,"=71",'Plan rashoda za unos u SAP'!$N$3:$N$501,"=34")</f>
        <v>0</v>
      </c>
      <c r="P75" s="154">
        <f>SUMIFS('Plan rashoda za unos u SAP'!$J$3:$J$501,'Plan rashoda za unos u SAP'!$C$3:$C$501,"=81",'Plan rashoda za unos u SAP'!$N$3:$N$501,"=34")</f>
        <v>0</v>
      </c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159"/>
      <c r="BQ75" s="159"/>
      <c r="BR75" s="159"/>
      <c r="BS75" s="159"/>
      <c r="BT75" s="159"/>
      <c r="BU75" s="159"/>
      <c r="BV75" s="159"/>
      <c r="BW75" s="159"/>
      <c r="BX75" s="159"/>
      <c r="BY75" s="159"/>
      <c r="BZ75" s="159"/>
      <c r="CA75" s="159"/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  <c r="CL75" s="159"/>
      <c r="CM75" s="159"/>
      <c r="CN75" s="159"/>
      <c r="CO75" s="159"/>
      <c r="CP75" s="159"/>
      <c r="CQ75" s="159"/>
      <c r="CR75" s="159"/>
      <c r="CS75" s="159"/>
      <c r="CT75" s="159"/>
      <c r="CU75" s="159"/>
      <c r="CV75" s="159"/>
      <c r="CW75" s="159"/>
      <c r="CX75" s="159"/>
      <c r="CY75" s="159"/>
      <c r="CZ75" s="159"/>
      <c r="DA75" s="159"/>
      <c r="DB75" s="159"/>
      <c r="DC75" s="159"/>
      <c r="DD75" s="159"/>
      <c r="DE75" s="159"/>
      <c r="DF75" s="159"/>
      <c r="DG75" s="159"/>
      <c r="DH75" s="159"/>
      <c r="DI75" s="159"/>
      <c r="DJ75" s="159"/>
      <c r="DK75" s="159"/>
      <c r="DL75" s="159"/>
      <c r="DM75" s="159"/>
      <c r="DN75" s="159"/>
      <c r="DO75" s="159"/>
      <c r="DP75" s="159"/>
      <c r="DQ75" s="159"/>
      <c r="DR75" s="159"/>
      <c r="DS75" s="159"/>
      <c r="DT75" s="159"/>
      <c r="DU75" s="159"/>
      <c r="DV75" s="159"/>
      <c r="DW75" s="159"/>
      <c r="DX75" s="159"/>
      <c r="DY75" s="159"/>
      <c r="DZ75" s="159"/>
      <c r="EA75" s="159"/>
      <c r="EB75" s="159"/>
      <c r="EC75" s="159"/>
      <c r="ED75" s="159"/>
      <c r="EE75" s="159"/>
      <c r="EF75" s="159"/>
      <c r="EG75" s="159"/>
      <c r="EH75" s="159"/>
      <c r="EI75" s="159"/>
      <c r="EJ75" s="159"/>
      <c r="EK75" s="159"/>
      <c r="EL75" s="159"/>
      <c r="EM75" s="159"/>
      <c r="EN75" s="159"/>
      <c r="EO75" s="159"/>
      <c r="EP75" s="159"/>
      <c r="EQ75" s="159"/>
      <c r="ER75" s="159"/>
      <c r="ES75" s="159"/>
      <c r="ET75" s="159"/>
      <c r="EU75" s="159"/>
      <c r="EV75" s="159"/>
      <c r="EW75" s="159"/>
      <c r="EX75" s="159"/>
      <c r="EY75" s="159"/>
      <c r="EZ75" s="159"/>
      <c r="FA75" s="159"/>
      <c r="FB75" s="159"/>
      <c r="FC75" s="159"/>
      <c r="FD75" s="159"/>
      <c r="FE75" s="159"/>
      <c r="FF75" s="159"/>
      <c r="FG75" s="159"/>
      <c r="FH75" s="159"/>
      <c r="FI75" s="159"/>
      <c r="FJ75" s="159"/>
      <c r="FK75" s="159"/>
      <c r="FL75" s="159"/>
      <c r="FM75" s="159"/>
      <c r="FN75" s="159"/>
      <c r="FO75" s="159"/>
      <c r="FP75" s="159"/>
      <c r="FQ75" s="159"/>
      <c r="FR75" s="159"/>
      <c r="FS75" s="159"/>
      <c r="FT75" s="159"/>
      <c r="FU75" s="159"/>
      <c r="FV75" s="159"/>
      <c r="FW75" s="159"/>
      <c r="FX75" s="159"/>
      <c r="FY75" s="159"/>
      <c r="FZ75" s="159"/>
      <c r="GA75" s="159"/>
      <c r="GB75" s="159"/>
      <c r="GC75" s="159"/>
      <c r="GD75" s="159"/>
      <c r="GE75" s="160"/>
      <c r="GF75" s="160"/>
      <c r="GG75" s="160"/>
      <c r="GH75" s="160"/>
      <c r="GI75" s="160"/>
      <c r="GJ75" s="160"/>
      <c r="GK75" s="160"/>
      <c r="GL75" s="160"/>
      <c r="GM75" s="160"/>
      <c r="GN75" s="160"/>
      <c r="GO75" s="160"/>
      <c r="GP75" s="160"/>
      <c r="GQ75" s="160"/>
      <c r="GR75" s="160"/>
      <c r="GS75" s="160"/>
      <c r="GT75" s="160"/>
      <c r="GU75" s="160"/>
      <c r="GV75" s="160"/>
      <c r="GW75" s="160"/>
      <c r="GX75" s="160"/>
      <c r="GY75" s="160"/>
      <c r="GZ75" s="160"/>
      <c r="HA75" s="160"/>
      <c r="HB75" s="160"/>
      <c r="HC75" s="160"/>
      <c r="HD75" s="160"/>
      <c r="HE75" s="160"/>
      <c r="HF75" s="160"/>
      <c r="HG75" s="160"/>
      <c r="HH75" s="160"/>
      <c r="HI75" s="160"/>
      <c r="HJ75" s="160"/>
      <c r="HK75" s="160"/>
      <c r="HL75" s="160"/>
      <c r="HM75" s="160"/>
      <c r="HN75" s="160"/>
      <c r="HO75" s="160"/>
      <c r="HP75" s="160"/>
      <c r="HQ75" s="160"/>
      <c r="HR75" s="160"/>
      <c r="HS75" s="160"/>
      <c r="HT75" s="160"/>
      <c r="HU75" s="160"/>
      <c r="HV75" s="160"/>
      <c r="HW75" s="160"/>
      <c r="HX75" s="160"/>
      <c r="HY75" s="160"/>
      <c r="HZ75" s="160"/>
      <c r="IA75" s="160"/>
      <c r="IB75" s="160"/>
      <c r="IC75" s="160"/>
      <c r="ID75" s="160"/>
      <c r="IE75" s="160"/>
      <c r="IF75" s="160"/>
      <c r="IG75" s="160"/>
      <c r="IH75" s="160"/>
      <c r="II75" s="160"/>
      <c r="IJ75" s="160"/>
      <c r="IK75" s="160"/>
      <c r="IL75" s="160"/>
      <c r="IM75" s="160"/>
      <c r="IN75" s="160"/>
      <c r="IO75" s="160"/>
      <c r="IP75" s="160"/>
      <c r="IQ75" s="160"/>
      <c r="IR75" s="160"/>
      <c r="IS75" s="160"/>
      <c r="IT75" s="160"/>
      <c r="IU75" s="160"/>
      <c r="IV75" s="160"/>
    </row>
    <row r="76" spans="1:256" s="159" customFormat="1" ht="12.6" customHeight="1">
      <c r="A76" s="157">
        <v>35</v>
      </c>
      <c r="B76" s="158" t="s">
        <v>849</v>
      </c>
      <c r="C76" s="174">
        <f t="shared" si="22"/>
        <v>0</v>
      </c>
      <c r="D76" s="154">
        <f>SUMIFS('Plan rashoda za unos u SAP'!$J$3:$J$501,'Plan rashoda za unos u SAP'!$C$3:$C$501,"=11",'Plan rashoda za unos u SAP'!$N$3:$N$501,"=35")</f>
        <v>0</v>
      </c>
      <c r="E76" s="154">
        <f>SUMIFS('Plan rashoda za unos u SAP'!$J$3:$J$501,'Plan rashoda za unos u SAP'!$C$3:$C$501,"=12",'Plan rashoda za unos u SAP'!$N$3:$N$501,"=35")</f>
        <v>0</v>
      </c>
      <c r="F76" s="154">
        <f>SUMIFS('Plan rashoda za unos u SAP'!$J$3:$J$501,'Plan rashoda za unos u SAP'!$C$3:$C$501,"=31",'Plan rashoda za unos u SAP'!$N$3:$N$501,"=35")</f>
        <v>0</v>
      </c>
      <c r="G76" s="154">
        <f>SUMIFS('Plan rashoda za unos u SAP'!$J$3:$J$501,'Plan rashoda za unos u SAP'!$C$3:$C$501,"=43",'Plan rashoda za unos u SAP'!$N$3:$N$501,"=35")</f>
        <v>0</v>
      </c>
      <c r="H76" s="154">
        <f>SUMIFS('Plan rashoda za unos u SAP'!$J$3:$J$501,'Plan rashoda za unos u SAP'!$C$3:$C$501,"=51",'Plan rashoda za unos u SAP'!$N$3:$N$501,"=35")</f>
        <v>0</v>
      </c>
      <c r="I76" s="154">
        <f>SUMIFS('Plan rashoda za unos u SAP'!$J$3:$J$501,'Plan rashoda za unos u SAP'!$C$3:$C$501,"=52",'Plan rashoda za unos u SAP'!$N$3:$N$501,"=35")</f>
        <v>0</v>
      </c>
      <c r="J76" s="154">
        <f>SUMIFS('Plan rashoda za unos u SAP'!$J$3:$J$501,'Plan rashoda za unos u SAP'!$C$3:$C$501,"=559",'Plan rashoda za unos u SAP'!$N$3:$N$501,"=35")</f>
        <v>0</v>
      </c>
      <c r="K76" s="154">
        <f>SUMIFS('Plan rashoda za unos u SAP'!$J$3:$J$501,'Plan rashoda za unos u SAP'!$C$3:$C$501,"=561",'Plan rashoda za unos u SAP'!$N$3:$N$501,"=35")</f>
        <v>0</v>
      </c>
      <c r="L76" s="154">
        <f>SUMIFS('Plan rashoda za unos u SAP'!$J$3:$J$501,'Plan rashoda za unos u SAP'!$C$3:$C$501,"=563",'Plan rashoda za unos u SAP'!$N$3:$N$501,"=35")</f>
        <v>0</v>
      </c>
      <c r="M76" s="154">
        <f>SUMIFS('Plan rashoda za unos u SAP'!$J$3:$J$501,'Plan rashoda za unos u SAP'!$C$3:$C$501,"=61",'Plan rashoda za unos u SAP'!$N$3:$N$501,"=35")</f>
        <v>0</v>
      </c>
      <c r="N76" s="154">
        <f>SUMIFS('Plan rashoda za unos u SAP'!$J$3:$J$501,'Plan rashoda za unos u SAP'!$C$3:$C$501,"=63",'Plan rashoda za unos u SAP'!$N$3:$N$501,"=35")</f>
        <v>0</v>
      </c>
      <c r="O76" s="154">
        <f>SUMIFS('Plan rashoda za unos u SAP'!$J$3:$J$501,'Plan rashoda za unos u SAP'!$C$3:$C$501,"=71",'Plan rashoda za unos u SAP'!$N$3:$N$501,"=35")</f>
        <v>0</v>
      </c>
      <c r="P76" s="154">
        <f>SUMIFS('Plan rashoda za unos u SAP'!$J$3:$J$501,'Plan rashoda za unos u SAP'!$C$3:$C$501,"=81",'Plan rashoda za unos u SAP'!$N$3:$N$501,"=35")</f>
        <v>0</v>
      </c>
      <c r="GE76" s="160"/>
      <c r="GF76" s="160"/>
      <c r="GG76" s="160"/>
      <c r="GH76" s="160"/>
      <c r="GI76" s="160"/>
      <c r="GJ76" s="160"/>
      <c r="GK76" s="160"/>
      <c r="GL76" s="160"/>
      <c r="GM76" s="160"/>
      <c r="GN76" s="160"/>
      <c r="GO76" s="160"/>
      <c r="GP76" s="160"/>
      <c r="GQ76" s="160"/>
      <c r="GR76" s="160"/>
      <c r="GS76" s="160"/>
      <c r="GT76" s="160"/>
      <c r="GU76" s="160"/>
      <c r="GV76" s="160"/>
      <c r="GW76" s="160"/>
      <c r="GX76" s="160"/>
      <c r="GY76" s="160"/>
      <c r="GZ76" s="160"/>
      <c r="HA76" s="160"/>
      <c r="HB76" s="160"/>
      <c r="HC76" s="160"/>
      <c r="HD76" s="160"/>
      <c r="HE76" s="160"/>
      <c r="HF76" s="160"/>
      <c r="HG76" s="160"/>
      <c r="HH76" s="160"/>
      <c r="HI76" s="160"/>
      <c r="HJ76" s="160"/>
      <c r="HK76" s="160"/>
      <c r="HL76" s="160"/>
      <c r="HM76" s="160"/>
      <c r="HN76" s="160"/>
      <c r="HO76" s="160"/>
      <c r="HP76" s="160"/>
      <c r="HQ76" s="160"/>
      <c r="HR76" s="160"/>
      <c r="HS76" s="160"/>
      <c r="HT76" s="160"/>
      <c r="HU76" s="160"/>
      <c r="HV76" s="160"/>
      <c r="HW76" s="160"/>
      <c r="HX76" s="160"/>
      <c r="HY76" s="160"/>
      <c r="HZ76" s="160"/>
      <c r="IA76" s="160"/>
      <c r="IB76" s="160"/>
      <c r="IC76" s="160"/>
      <c r="ID76" s="160"/>
      <c r="IE76" s="160"/>
      <c r="IF76" s="160"/>
      <c r="IG76" s="160"/>
      <c r="IH76" s="160"/>
      <c r="II76" s="160"/>
      <c r="IJ76" s="160"/>
      <c r="IK76" s="160"/>
      <c r="IL76" s="160"/>
      <c r="IM76" s="160"/>
      <c r="IN76" s="160"/>
      <c r="IO76" s="160"/>
      <c r="IP76" s="160"/>
      <c r="IQ76" s="160"/>
      <c r="IR76" s="160"/>
      <c r="IS76" s="160"/>
      <c r="IT76" s="160"/>
      <c r="IU76" s="160"/>
      <c r="IV76" s="160"/>
    </row>
    <row r="77" spans="1:256" s="159" customFormat="1" ht="12.6" customHeight="1">
      <c r="A77" s="157">
        <v>36</v>
      </c>
      <c r="B77" s="165" t="s">
        <v>852</v>
      </c>
      <c r="C77" s="174">
        <f t="shared" si="22"/>
        <v>0</v>
      </c>
      <c r="D77" s="154">
        <f>SUMIFS('Plan rashoda za unos u SAP'!$J$3:$J$501,'Plan rashoda za unos u SAP'!$C$3:$C$501,"=11",'Plan rashoda za unos u SAP'!$N$3:$N$501,"=36")</f>
        <v>0</v>
      </c>
      <c r="E77" s="154">
        <f>SUMIFS('Plan rashoda za unos u SAP'!$J$3:$J$501,'Plan rashoda za unos u SAP'!$C$3:$C$501,"=12",'Plan rashoda za unos u SAP'!$N$3:$N$501,"=36")</f>
        <v>0</v>
      </c>
      <c r="F77" s="154">
        <f>SUMIFS('Plan rashoda za unos u SAP'!$J$3:$J$501,'Plan rashoda za unos u SAP'!$C$3:$C$501,"=31",'Plan rashoda za unos u SAP'!$N$3:$N$501,"=36")</f>
        <v>0</v>
      </c>
      <c r="G77" s="154">
        <f>SUMIFS('Plan rashoda za unos u SAP'!$J$3:$J$501,'Plan rashoda za unos u SAP'!$C$3:$C$501,"=43",'Plan rashoda za unos u SAP'!$N$3:$N$501,"=36")</f>
        <v>0</v>
      </c>
      <c r="H77" s="154">
        <f>SUMIFS('Plan rashoda za unos u SAP'!$J$3:$J$501,'Plan rashoda za unos u SAP'!$C$3:$C$501,"=51",'Plan rashoda za unos u SAP'!$N$3:$N$501,"=36")</f>
        <v>0</v>
      </c>
      <c r="I77" s="154">
        <f>SUMIFS('Plan rashoda za unos u SAP'!$J$3:$J$501,'Plan rashoda za unos u SAP'!$C$3:$C$501,"=52",'Plan rashoda za unos u SAP'!$N$3:$N$501,"=36")</f>
        <v>0</v>
      </c>
      <c r="J77" s="154">
        <f>SUMIFS('Plan rashoda za unos u SAP'!$J$3:$J$501,'Plan rashoda za unos u SAP'!$C$3:$C$501,"=559",'Plan rashoda za unos u SAP'!$N$3:$N$501,"=36")</f>
        <v>0</v>
      </c>
      <c r="K77" s="154">
        <f>SUMIFS('Plan rashoda za unos u SAP'!$J$3:$J$501,'Plan rashoda za unos u SAP'!$C$3:$C$501,"=561",'Plan rashoda za unos u SAP'!$N$3:$N$501,"=36")</f>
        <v>0</v>
      </c>
      <c r="L77" s="154">
        <f>SUMIFS('Plan rashoda za unos u SAP'!$J$3:$J$501,'Plan rashoda za unos u SAP'!$C$3:$C$501,"=563",'Plan rashoda za unos u SAP'!$N$3:$N$501,"=36")</f>
        <v>0</v>
      </c>
      <c r="M77" s="154">
        <f>SUMIFS('Plan rashoda za unos u SAP'!$J$3:$J$501,'Plan rashoda za unos u SAP'!$C$3:$C$501,"=61",'Plan rashoda za unos u SAP'!$N$3:$N$501,"=36")</f>
        <v>0</v>
      </c>
      <c r="N77" s="154">
        <f>SUMIFS('Plan rashoda za unos u SAP'!$J$3:$J$501,'Plan rashoda za unos u SAP'!$C$3:$C$501,"=63",'Plan rashoda za unos u SAP'!$N$3:$N$501,"=36")</f>
        <v>0</v>
      </c>
      <c r="O77" s="154">
        <f>SUMIFS('Plan rashoda za unos u SAP'!$J$3:$J$501,'Plan rashoda za unos u SAP'!$C$3:$C$501,"=71",'Plan rashoda za unos u SAP'!$N$3:$N$501,"=36")</f>
        <v>0</v>
      </c>
      <c r="P77" s="154">
        <f>SUMIFS('Plan rashoda za unos u SAP'!$J$3:$J$501,'Plan rashoda za unos u SAP'!$C$3:$C$501,"=81",'Plan rashoda za unos u SAP'!$N$3:$N$501,"=36")</f>
        <v>0</v>
      </c>
      <c r="GE77" s="160"/>
      <c r="GF77" s="160"/>
      <c r="GG77" s="160"/>
      <c r="GH77" s="160"/>
      <c r="GI77" s="160"/>
      <c r="GJ77" s="160"/>
      <c r="GK77" s="160"/>
      <c r="GL77" s="160"/>
      <c r="GM77" s="160"/>
      <c r="GN77" s="160"/>
      <c r="GO77" s="160"/>
      <c r="GP77" s="160"/>
      <c r="GQ77" s="160"/>
      <c r="GR77" s="160"/>
      <c r="GS77" s="160"/>
      <c r="GT77" s="160"/>
      <c r="GU77" s="160"/>
      <c r="GV77" s="160"/>
      <c r="GW77" s="160"/>
      <c r="GX77" s="160"/>
      <c r="GY77" s="160"/>
      <c r="GZ77" s="160"/>
      <c r="HA77" s="160"/>
      <c r="HB77" s="160"/>
      <c r="HC77" s="160"/>
      <c r="HD77" s="160"/>
      <c r="HE77" s="160"/>
      <c r="HF77" s="160"/>
      <c r="HG77" s="160"/>
      <c r="HH77" s="160"/>
      <c r="HI77" s="160"/>
      <c r="HJ77" s="160"/>
      <c r="HK77" s="160"/>
      <c r="HL77" s="160"/>
      <c r="HM77" s="160"/>
      <c r="HN77" s="160"/>
      <c r="HO77" s="160"/>
      <c r="HP77" s="160"/>
      <c r="HQ77" s="160"/>
      <c r="HR77" s="160"/>
      <c r="HS77" s="160"/>
      <c r="HT77" s="160"/>
      <c r="HU77" s="160"/>
      <c r="HV77" s="160"/>
      <c r="HW77" s="160"/>
      <c r="HX77" s="160"/>
      <c r="HY77" s="160"/>
      <c r="HZ77" s="160"/>
      <c r="IA77" s="160"/>
      <c r="IB77" s="160"/>
      <c r="IC77" s="160"/>
      <c r="ID77" s="160"/>
      <c r="IE77" s="160"/>
      <c r="IF77" s="160"/>
      <c r="IG77" s="160"/>
      <c r="IH77" s="160"/>
      <c r="II77" s="160"/>
      <c r="IJ77" s="160"/>
      <c r="IK77" s="160"/>
      <c r="IL77" s="160"/>
      <c r="IM77" s="160"/>
      <c r="IN77" s="160"/>
      <c r="IO77" s="160"/>
      <c r="IP77" s="160"/>
      <c r="IQ77" s="160"/>
      <c r="IR77" s="160"/>
      <c r="IS77" s="160"/>
      <c r="IT77" s="160"/>
      <c r="IU77" s="160"/>
      <c r="IV77" s="160"/>
    </row>
    <row r="78" spans="1:256" s="166" customFormat="1" ht="12.6" customHeight="1">
      <c r="A78" s="157">
        <v>37</v>
      </c>
      <c r="B78" s="158" t="s">
        <v>857</v>
      </c>
      <c r="C78" s="174">
        <f t="shared" si="22"/>
        <v>0</v>
      </c>
      <c r="D78" s="154">
        <f>SUMIFS('Plan rashoda za unos u SAP'!$J$3:$J$501,'Plan rashoda za unos u SAP'!$C$3:$C$501,"=11",'Plan rashoda za unos u SAP'!$N$3:$N$501,"=37")</f>
        <v>0</v>
      </c>
      <c r="E78" s="154">
        <f>SUMIFS('Plan rashoda za unos u SAP'!$J$3:$J$501,'Plan rashoda za unos u SAP'!$C$3:$C$501,"=12",'Plan rashoda za unos u SAP'!$N$3:$N$501,"=37")</f>
        <v>0</v>
      </c>
      <c r="F78" s="154">
        <f>SUMIFS('Plan rashoda za unos u SAP'!$J$3:$J$501,'Plan rashoda za unos u SAP'!$C$3:$C$501,"=31",'Plan rashoda za unos u SAP'!$N$3:$N$501,"=37")</f>
        <v>0</v>
      </c>
      <c r="G78" s="154">
        <f>SUMIFS('Plan rashoda za unos u SAP'!$J$3:$J$501,'Plan rashoda za unos u SAP'!$C$3:$C$501,"=43",'Plan rashoda za unos u SAP'!$N$3:$N$501,"=37")</f>
        <v>0</v>
      </c>
      <c r="H78" s="154">
        <f>SUMIFS('Plan rashoda za unos u SAP'!$J$3:$J$501,'Plan rashoda za unos u SAP'!$C$3:$C$501,"=51",'Plan rashoda za unos u SAP'!$N$3:$N$501,"=37")</f>
        <v>0</v>
      </c>
      <c r="I78" s="154">
        <f>SUMIFS('Plan rashoda za unos u SAP'!$J$3:$J$501,'Plan rashoda za unos u SAP'!$C$3:$C$501,"=52",'Plan rashoda za unos u SAP'!$N$3:$N$501,"=37")</f>
        <v>0</v>
      </c>
      <c r="J78" s="154">
        <f>SUMIFS('Plan rashoda za unos u SAP'!$J$3:$J$501,'Plan rashoda za unos u SAP'!$C$3:$C$501,"=559",'Plan rashoda za unos u SAP'!$N$3:$N$501,"=37")</f>
        <v>0</v>
      </c>
      <c r="K78" s="154">
        <f>SUMIFS('Plan rashoda za unos u SAP'!$J$3:$J$501,'Plan rashoda za unos u SAP'!$C$3:$C$501,"=561",'Plan rashoda za unos u SAP'!$N$3:$N$501,"=37")</f>
        <v>0</v>
      </c>
      <c r="L78" s="154">
        <f>SUMIFS('Plan rashoda za unos u SAP'!$J$3:$J$501,'Plan rashoda za unos u SAP'!$C$3:$C$501,"=563",'Plan rashoda za unos u SAP'!$N$3:$N$501,"=37")</f>
        <v>0</v>
      </c>
      <c r="M78" s="154">
        <f>SUMIFS('Plan rashoda za unos u SAP'!$J$3:$J$501,'Plan rashoda za unos u SAP'!$C$3:$C$501,"=61",'Plan rashoda za unos u SAP'!$N$3:$N$501,"=37")</f>
        <v>0</v>
      </c>
      <c r="N78" s="154">
        <f>SUMIFS('Plan rashoda za unos u SAP'!$J$3:$J$501,'Plan rashoda za unos u SAP'!$C$3:$C$501,"=63",'Plan rashoda za unos u SAP'!$N$3:$N$501,"=37")</f>
        <v>0</v>
      </c>
      <c r="O78" s="154">
        <f>SUMIFS('Plan rashoda za unos u SAP'!$J$3:$J$501,'Plan rashoda za unos u SAP'!$C$3:$C$501,"=71",'Plan rashoda za unos u SAP'!$N$3:$N$501,"=37")</f>
        <v>0</v>
      </c>
      <c r="P78" s="154">
        <f>SUMIFS('Plan rashoda za unos u SAP'!$J$3:$J$501,'Plan rashoda za unos u SAP'!$C$3:$C$501,"=81",'Plan rashoda za unos u SAP'!$N$3:$N$501,"=37")</f>
        <v>0</v>
      </c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59"/>
      <c r="BN78" s="159"/>
      <c r="BO78" s="159"/>
      <c r="BP78" s="159"/>
      <c r="BQ78" s="159"/>
      <c r="BR78" s="159"/>
      <c r="BS78" s="159"/>
      <c r="BT78" s="159"/>
      <c r="BU78" s="159"/>
      <c r="BV78" s="159"/>
      <c r="BW78" s="159"/>
      <c r="BX78" s="159"/>
      <c r="BY78" s="159"/>
      <c r="BZ78" s="159"/>
      <c r="CA78" s="159"/>
      <c r="CB78" s="159"/>
      <c r="CC78" s="159"/>
      <c r="CD78" s="159"/>
      <c r="CE78" s="159"/>
      <c r="CF78" s="159"/>
      <c r="CG78" s="159"/>
      <c r="CH78" s="159"/>
      <c r="CI78" s="159"/>
      <c r="CJ78" s="159"/>
      <c r="CK78" s="159"/>
      <c r="CL78" s="159"/>
      <c r="CM78" s="159"/>
      <c r="CN78" s="159"/>
      <c r="CO78" s="159"/>
      <c r="CP78" s="159"/>
      <c r="CQ78" s="159"/>
      <c r="CR78" s="159"/>
      <c r="CS78" s="159"/>
      <c r="CT78" s="159"/>
      <c r="CU78" s="159"/>
      <c r="CV78" s="159"/>
      <c r="CW78" s="159"/>
      <c r="CX78" s="159"/>
      <c r="CY78" s="159"/>
      <c r="CZ78" s="159"/>
      <c r="DA78" s="159"/>
      <c r="DB78" s="159"/>
      <c r="DC78" s="159"/>
      <c r="DD78" s="159"/>
      <c r="DE78" s="159"/>
      <c r="DF78" s="159"/>
      <c r="DG78" s="159"/>
      <c r="DH78" s="159"/>
      <c r="DI78" s="159"/>
      <c r="DJ78" s="159"/>
      <c r="DK78" s="159"/>
      <c r="DL78" s="159"/>
      <c r="DM78" s="159"/>
      <c r="DN78" s="159"/>
      <c r="DO78" s="159"/>
      <c r="DP78" s="159"/>
      <c r="DQ78" s="159"/>
      <c r="DR78" s="159"/>
      <c r="DS78" s="159"/>
      <c r="DT78" s="159"/>
      <c r="DU78" s="159"/>
      <c r="DV78" s="159"/>
      <c r="DW78" s="159"/>
      <c r="DX78" s="159"/>
      <c r="DY78" s="159"/>
      <c r="DZ78" s="159"/>
      <c r="EA78" s="159"/>
      <c r="EB78" s="159"/>
      <c r="EC78" s="159"/>
      <c r="ED78" s="159"/>
      <c r="EE78" s="159"/>
      <c r="EF78" s="159"/>
      <c r="EG78" s="159"/>
      <c r="EH78" s="159"/>
      <c r="EI78" s="159"/>
      <c r="EJ78" s="159"/>
      <c r="EK78" s="159"/>
      <c r="EL78" s="159"/>
      <c r="EM78" s="159"/>
      <c r="EN78" s="159"/>
      <c r="EO78" s="159"/>
      <c r="EP78" s="159"/>
      <c r="EQ78" s="159"/>
      <c r="ER78" s="159"/>
      <c r="ES78" s="159"/>
      <c r="ET78" s="159"/>
      <c r="EU78" s="159"/>
      <c r="EV78" s="159"/>
      <c r="EW78" s="159"/>
      <c r="EX78" s="159"/>
      <c r="EY78" s="159"/>
      <c r="EZ78" s="159"/>
      <c r="FA78" s="159"/>
      <c r="FB78" s="159"/>
      <c r="FC78" s="159"/>
      <c r="FD78" s="159"/>
      <c r="FE78" s="159"/>
      <c r="FF78" s="159"/>
      <c r="FG78" s="159"/>
      <c r="FH78" s="159"/>
      <c r="FI78" s="159"/>
      <c r="FJ78" s="159"/>
      <c r="FK78" s="159"/>
      <c r="FL78" s="159"/>
      <c r="FM78" s="159"/>
      <c r="FN78" s="159"/>
      <c r="FO78" s="159"/>
      <c r="FP78" s="159"/>
      <c r="FQ78" s="159"/>
      <c r="FR78" s="159"/>
      <c r="FS78" s="159"/>
      <c r="FT78" s="159"/>
      <c r="FU78" s="159"/>
      <c r="FV78" s="159"/>
      <c r="FW78" s="159"/>
      <c r="FX78" s="159"/>
      <c r="FY78" s="159"/>
      <c r="FZ78" s="159"/>
      <c r="GA78" s="159"/>
      <c r="GB78" s="159"/>
      <c r="GC78" s="159"/>
      <c r="GD78" s="159"/>
      <c r="GE78" s="160"/>
      <c r="GF78" s="160"/>
      <c r="GG78" s="160"/>
      <c r="GH78" s="160"/>
      <c r="GI78" s="160"/>
      <c r="GJ78" s="160"/>
      <c r="GK78" s="160"/>
      <c r="GL78" s="160"/>
      <c r="GM78" s="160"/>
      <c r="GN78" s="160"/>
      <c r="GO78" s="160"/>
      <c r="GP78" s="160"/>
      <c r="GQ78" s="160"/>
      <c r="GR78" s="160"/>
      <c r="GS78" s="160"/>
      <c r="GT78" s="160"/>
      <c r="GU78" s="160"/>
      <c r="GV78" s="160"/>
      <c r="GW78" s="160"/>
      <c r="GX78" s="160"/>
      <c r="GY78" s="160"/>
      <c r="GZ78" s="160"/>
      <c r="HA78" s="160"/>
      <c r="HB78" s="160"/>
      <c r="HC78" s="160"/>
      <c r="HD78" s="160"/>
      <c r="HE78" s="160"/>
      <c r="HF78" s="160"/>
      <c r="HG78" s="160"/>
      <c r="HH78" s="160"/>
      <c r="HI78" s="160"/>
      <c r="HJ78" s="160"/>
      <c r="HK78" s="160"/>
      <c r="HL78" s="160"/>
      <c r="HM78" s="160"/>
      <c r="HN78" s="160"/>
      <c r="HO78" s="160"/>
      <c r="HP78" s="160"/>
      <c r="HQ78" s="160"/>
      <c r="HR78" s="160"/>
      <c r="HS78" s="160"/>
      <c r="HT78" s="160"/>
      <c r="HU78" s="160"/>
      <c r="HV78" s="160"/>
      <c r="HW78" s="160"/>
      <c r="HX78" s="160"/>
      <c r="HY78" s="160"/>
      <c r="HZ78" s="160"/>
      <c r="IA78" s="160"/>
      <c r="IB78" s="160"/>
      <c r="IC78" s="160"/>
      <c r="ID78" s="160"/>
      <c r="IE78" s="160"/>
      <c r="IF78" s="160"/>
      <c r="IG78" s="160"/>
      <c r="IH78" s="160"/>
      <c r="II78" s="160"/>
      <c r="IJ78" s="160"/>
      <c r="IK78" s="160"/>
      <c r="IL78" s="160"/>
      <c r="IM78" s="160"/>
      <c r="IN78" s="160"/>
      <c r="IO78" s="160"/>
      <c r="IP78" s="160"/>
      <c r="IQ78" s="160"/>
      <c r="IR78" s="160"/>
      <c r="IS78" s="160"/>
      <c r="IT78" s="160"/>
      <c r="IU78" s="160"/>
      <c r="IV78" s="160"/>
    </row>
    <row r="79" spans="1:256" s="166" customFormat="1" ht="12.6" customHeight="1">
      <c r="A79" s="157">
        <v>38</v>
      </c>
      <c r="B79" s="158" t="s">
        <v>860</v>
      </c>
      <c r="C79" s="174">
        <f t="shared" si="22"/>
        <v>0</v>
      </c>
      <c r="D79" s="154">
        <f>SUMIFS('Plan rashoda za unos u SAP'!$J$3:$J$501,'Plan rashoda za unos u SAP'!$C$3:$C$501,"=11",'Plan rashoda za unos u SAP'!$N$3:$N$501,"=38")</f>
        <v>0</v>
      </c>
      <c r="E79" s="154">
        <f>SUMIFS('Plan rashoda za unos u SAP'!$J$3:$J$501,'Plan rashoda za unos u SAP'!$C$3:$C$501,"=12",'Plan rashoda za unos u SAP'!$N$3:$N$501,"=38")</f>
        <v>0</v>
      </c>
      <c r="F79" s="154">
        <f>SUMIFS('Plan rashoda za unos u SAP'!$J$3:$J$501,'Plan rashoda za unos u SAP'!$C$3:$C$501,"=31",'Plan rashoda za unos u SAP'!$N$3:$N$501,"=38")</f>
        <v>0</v>
      </c>
      <c r="G79" s="154">
        <f>SUMIFS('Plan rashoda za unos u SAP'!$J$3:$J$501,'Plan rashoda za unos u SAP'!$C$3:$C$501,"=43",'Plan rashoda za unos u SAP'!$N$3:$N$501,"=38")</f>
        <v>0</v>
      </c>
      <c r="H79" s="154">
        <f>SUMIFS('Plan rashoda za unos u SAP'!$J$3:$J$501,'Plan rashoda za unos u SAP'!$C$3:$C$501,"=51",'Plan rashoda za unos u SAP'!$N$3:$N$501,"=38")</f>
        <v>0</v>
      </c>
      <c r="I79" s="154">
        <f>SUMIFS('Plan rashoda za unos u SAP'!$J$3:$J$501,'Plan rashoda za unos u SAP'!$C$3:$C$501,"=52",'Plan rashoda za unos u SAP'!$N$3:$N$501,"=38")</f>
        <v>0</v>
      </c>
      <c r="J79" s="154">
        <f>SUMIFS('Plan rashoda za unos u SAP'!$J$3:$J$501,'Plan rashoda za unos u SAP'!$C$3:$C$501,"=559",'Plan rashoda za unos u SAP'!$N$3:$N$501,"=38")</f>
        <v>0</v>
      </c>
      <c r="K79" s="154">
        <f>SUMIFS('Plan rashoda za unos u SAP'!$J$3:$J$501,'Plan rashoda za unos u SAP'!$C$3:$C$501,"=561",'Plan rashoda za unos u SAP'!$N$3:$N$501,"=38")</f>
        <v>0</v>
      </c>
      <c r="L79" s="154">
        <f>SUMIFS('Plan rashoda za unos u SAP'!$J$3:$J$501,'Plan rashoda za unos u SAP'!$C$3:$C$501,"=563",'Plan rashoda za unos u SAP'!$N$3:$N$501,"=38")</f>
        <v>0</v>
      </c>
      <c r="M79" s="154">
        <f>SUMIFS('Plan rashoda za unos u SAP'!$J$3:$J$501,'Plan rashoda za unos u SAP'!$C$3:$C$501,"=61",'Plan rashoda za unos u SAP'!$N$3:$N$501,"=38")</f>
        <v>0</v>
      </c>
      <c r="N79" s="154">
        <f>SUMIFS('Plan rashoda za unos u SAP'!$J$3:$J$501,'Plan rashoda za unos u SAP'!$C$3:$C$501,"=63",'Plan rashoda za unos u SAP'!$N$3:$N$501,"=38")</f>
        <v>0</v>
      </c>
      <c r="O79" s="154">
        <f>SUMIFS('Plan rashoda za unos u SAP'!$J$3:$J$501,'Plan rashoda za unos u SAP'!$C$3:$C$501,"=71",'Plan rashoda za unos u SAP'!$N$3:$N$501,"=38")</f>
        <v>0</v>
      </c>
      <c r="P79" s="154">
        <f>SUMIFS('Plan rashoda za unos u SAP'!$J$3:$J$501,'Plan rashoda za unos u SAP'!$C$3:$C$501,"=81",'Plan rashoda za unos u SAP'!$N$3:$N$501,"=38")</f>
        <v>0</v>
      </c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59"/>
      <c r="CC79" s="159"/>
      <c r="CD79" s="159"/>
      <c r="CE79" s="159"/>
      <c r="CF79" s="159"/>
      <c r="CG79" s="159"/>
      <c r="CH79" s="159"/>
      <c r="CI79" s="159"/>
      <c r="CJ79" s="159"/>
      <c r="CK79" s="159"/>
      <c r="CL79" s="159"/>
      <c r="CM79" s="159"/>
      <c r="CN79" s="159"/>
      <c r="CO79" s="159"/>
      <c r="CP79" s="159"/>
      <c r="CQ79" s="159"/>
      <c r="CR79" s="159"/>
      <c r="CS79" s="159"/>
      <c r="CT79" s="159"/>
      <c r="CU79" s="159"/>
      <c r="CV79" s="159"/>
      <c r="CW79" s="159"/>
      <c r="CX79" s="159"/>
      <c r="CY79" s="159"/>
      <c r="CZ79" s="159"/>
      <c r="DA79" s="159"/>
      <c r="DB79" s="159"/>
      <c r="DC79" s="159"/>
      <c r="DD79" s="159"/>
      <c r="DE79" s="159"/>
      <c r="DF79" s="159"/>
      <c r="DG79" s="159"/>
      <c r="DH79" s="159"/>
      <c r="DI79" s="159"/>
      <c r="DJ79" s="159"/>
      <c r="DK79" s="159"/>
      <c r="DL79" s="159"/>
      <c r="DM79" s="159"/>
      <c r="DN79" s="159"/>
      <c r="DO79" s="159"/>
      <c r="DP79" s="159"/>
      <c r="DQ79" s="159"/>
      <c r="DR79" s="159"/>
      <c r="DS79" s="159"/>
      <c r="DT79" s="159"/>
      <c r="DU79" s="159"/>
      <c r="DV79" s="159"/>
      <c r="DW79" s="159"/>
      <c r="DX79" s="159"/>
      <c r="DY79" s="159"/>
      <c r="DZ79" s="159"/>
      <c r="EA79" s="159"/>
      <c r="EB79" s="159"/>
      <c r="EC79" s="159"/>
      <c r="ED79" s="159"/>
      <c r="EE79" s="159"/>
      <c r="EF79" s="159"/>
      <c r="EG79" s="159"/>
      <c r="EH79" s="159"/>
      <c r="EI79" s="159"/>
      <c r="EJ79" s="159"/>
      <c r="EK79" s="159"/>
      <c r="EL79" s="159"/>
      <c r="EM79" s="159"/>
      <c r="EN79" s="159"/>
      <c r="EO79" s="159"/>
      <c r="EP79" s="159"/>
      <c r="EQ79" s="159"/>
      <c r="ER79" s="159"/>
      <c r="ES79" s="159"/>
      <c r="ET79" s="159"/>
      <c r="EU79" s="159"/>
      <c r="EV79" s="159"/>
      <c r="EW79" s="159"/>
      <c r="EX79" s="159"/>
      <c r="EY79" s="159"/>
      <c r="EZ79" s="159"/>
      <c r="FA79" s="159"/>
      <c r="FB79" s="159"/>
      <c r="FC79" s="159"/>
      <c r="FD79" s="159"/>
      <c r="FE79" s="159"/>
      <c r="FF79" s="159"/>
      <c r="FG79" s="159"/>
      <c r="FH79" s="159"/>
      <c r="FI79" s="159"/>
      <c r="FJ79" s="159"/>
      <c r="FK79" s="159"/>
      <c r="FL79" s="159"/>
      <c r="FM79" s="159"/>
      <c r="FN79" s="159"/>
      <c r="FO79" s="159"/>
      <c r="FP79" s="159"/>
      <c r="FQ79" s="159"/>
      <c r="FR79" s="159"/>
      <c r="FS79" s="159"/>
      <c r="FT79" s="159"/>
      <c r="FU79" s="159"/>
      <c r="FV79" s="159"/>
      <c r="FW79" s="159"/>
      <c r="FX79" s="159"/>
      <c r="FY79" s="159"/>
      <c r="FZ79" s="159"/>
      <c r="GA79" s="159"/>
      <c r="GB79" s="159"/>
      <c r="GC79" s="159"/>
      <c r="GD79" s="159"/>
      <c r="GE79" s="160"/>
      <c r="GF79" s="160"/>
      <c r="GG79" s="160"/>
      <c r="GH79" s="160"/>
      <c r="GI79" s="160"/>
      <c r="GJ79" s="160"/>
      <c r="GK79" s="160"/>
      <c r="GL79" s="160"/>
      <c r="GM79" s="160"/>
      <c r="GN79" s="160"/>
      <c r="GO79" s="160"/>
      <c r="GP79" s="160"/>
      <c r="GQ79" s="160"/>
      <c r="GR79" s="160"/>
      <c r="GS79" s="160"/>
      <c r="GT79" s="160"/>
      <c r="GU79" s="160"/>
      <c r="GV79" s="160"/>
      <c r="GW79" s="160"/>
      <c r="GX79" s="160"/>
      <c r="GY79" s="160"/>
      <c r="GZ79" s="160"/>
      <c r="HA79" s="160"/>
      <c r="HB79" s="160"/>
      <c r="HC79" s="160"/>
      <c r="HD79" s="160"/>
      <c r="HE79" s="160"/>
      <c r="HF79" s="160"/>
      <c r="HG79" s="160"/>
      <c r="HH79" s="160"/>
      <c r="HI79" s="160"/>
      <c r="HJ79" s="160"/>
      <c r="HK79" s="160"/>
      <c r="HL79" s="160"/>
      <c r="HM79" s="160"/>
      <c r="HN79" s="160"/>
      <c r="HO79" s="160"/>
      <c r="HP79" s="160"/>
      <c r="HQ79" s="160"/>
      <c r="HR79" s="160"/>
      <c r="HS79" s="160"/>
      <c r="HT79" s="160"/>
      <c r="HU79" s="160"/>
      <c r="HV79" s="160"/>
      <c r="HW79" s="160"/>
      <c r="HX79" s="160"/>
      <c r="HY79" s="160"/>
      <c r="HZ79" s="160"/>
      <c r="IA79" s="160"/>
      <c r="IB79" s="160"/>
      <c r="IC79" s="160"/>
      <c r="ID79" s="160"/>
      <c r="IE79" s="160"/>
      <c r="IF79" s="160"/>
      <c r="IG79" s="160"/>
      <c r="IH79" s="160"/>
      <c r="II79" s="160"/>
      <c r="IJ79" s="160"/>
      <c r="IK79" s="160"/>
      <c r="IL79" s="160"/>
      <c r="IM79" s="160"/>
      <c r="IN79" s="160"/>
      <c r="IO79" s="160"/>
      <c r="IP79" s="160"/>
      <c r="IQ79" s="160"/>
      <c r="IR79" s="160"/>
      <c r="IS79" s="160"/>
      <c r="IT79" s="160"/>
      <c r="IU79" s="160"/>
      <c r="IV79" s="160"/>
    </row>
    <row r="80" spans="1:256" s="167" customFormat="1" ht="12.6" customHeight="1">
      <c r="A80" s="168">
        <v>4</v>
      </c>
      <c r="B80" s="169" t="s">
        <v>865</v>
      </c>
      <c r="C80" s="170">
        <f t="shared" si="22"/>
        <v>0</v>
      </c>
      <c r="D80" s="175">
        <f t="shared" ref="D80:P80" si="24">SUM(D81:D85)</f>
        <v>0</v>
      </c>
      <c r="E80" s="175">
        <f t="shared" si="24"/>
        <v>0</v>
      </c>
      <c r="F80" s="175">
        <f t="shared" si="24"/>
        <v>0</v>
      </c>
      <c r="G80" s="175">
        <f t="shared" si="24"/>
        <v>0</v>
      </c>
      <c r="H80" s="175">
        <f t="shared" si="24"/>
        <v>0</v>
      </c>
      <c r="I80" s="175">
        <f t="shared" si="24"/>
        <v>0</v>
      </c>
      <c r="J80" s="175">
        <f t="shared" si="24"/>
        <v>0</v>
      </c>
      <c r="K80" s="175">
        <f t="shared" si="24"/>
        <v>0</v>
      </c>
      <c r="L80" s="175">
        <f t="shared" si="24"/>
        <v>0</v>
      </c>
      <c r="M80" s="175">
        <f t="shared" si="24"/>
        <v>0</v>
      </c>
      <c r="N80" s="175">
        <f t="shared" si="24"/>
        <v>0</v>
      </c>
      <c r="O80" s="175">
        <f t="shared" si="24"/>
        <v>0</v>
      </c>
      <c r="P80" s="175">
        <f t="shared" si="24"/>
        <v>0</v>
      </c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132"/>
      <c r="CZ80" s="132"/>
      <c r="DA80" s="132"/>
      <c r="DB80" s="132"/>
      <c r="DC80" s="132"/>
      <c r="DD80" s="132"/>
      <c r="DE80" s="132"/>
      <c r="DF80" s="132"/>
      <c r="DG80" s="132"/>
      <c r="DH80" s="132"/>
      <c r="DI80" s="132"/>
      <c r="DJ80" s="132"/>
      <c r="DK80" s="132"/>
      <c r="DL80" s="132"/>
      <c r="DM80" s="132"/>
      <c r="DN80" s="132"/>
      <c r="DO80" s="132"/>
      <c r="DP80" s="132"/>
      <c r="DQ80" s="132"/>
      <c r="DR80" s="132"/>
      <c r="DS80" s="132"/>
      <c r="DT80" s="132"/>
      <c r="DU80" s="132"/>
      <c r="DV80" s="132"/>
      <c r="DW80" s="132"/>
      <c r="DX80" s="132"/>
      <c r="DY80" s="132"/>
      <c r="DZ80" s="132"/>
      <c r="EA80" s="132"/>
      <c r="EB80" s="132"/>
      <c r="EC80" s="132"/>
      <c r="ED80" s="132"/>
      <c r="EE80" s="132"/>
      <c r="EF80" s="132"/>
      <c r="EG80" s="132"/>
      <c r="EH80" s="132"/>
      <c r="EI80" s="132"/>
      <c r="EJ80" s="132"/>
      <c r="EK80" s="132"/>
      <c r="EL80" s="132"/>
      <c r="EM80" s="132"/>
      <c r="EN80" s="132"/>
      <c r="EO80" s="132"/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132"/>
      <c r="FD80" s="132"/>
      <c r="FE80" s="132"/>
      <c r="FF80" s="132"/>
      <c r="FG80" s="132"/>
      <c r="FH80" s="132"/>
      <c r="FI80" s="132"/>
      <c r="FJ80" s="132"/>
      <c r="FK80" s="132"/>
      <c r="FL80" s="132"/>
      <c r="FM80" s="132"/>
      <c r="FN80" s="132"/>
      <c r="FO80" s="132"/>
      <c r="FP80" s="132"/>
      <c r="FQ80" s="132"/>
      <c r="FR80" s="132"/>
      <c r="FS80" s="132"/>
      <c r="FT80" s="132"/>
      <c r="FU80" s="132"/>
      <c r="FV80" s="132"/>
      <c r="FW80" s="132"/>
      <c r="FX80" s="132"/>
      <c r="FY80" s="132"/>
      <c r="FZ80" s="132"/>
      <c r="GA80" s="132"/>
      <c r="GB80" s="132"/>
      <c r="GC80" s="132"/>
      <c r="GD80" s="132"/>
      <c r="GE80" s="133"/>
      <c r="GF80" s="133"/>
      <c r="GG80" s="133"/>
      <c r="GH80" s="133"/>
      <c r="GI80" s="133"/>
      <c r="GJ80" s="133"/>
      <c r="GK80" s="133"/>
      <c r="GL80" s="133"/>
      <c r="GM80" s="133"/>
      <c r="GN80" s="133"/>
      <c r="GO80" s="133"/>
      <c r="GP80" s="133"/>
      <c r="GQ80" s="133"/>
      <c r="GR80" s="133"/>
      <c r="GS80" s="133"/>
      <c r="GT80" s="133"/>
      <c r="GU80" s="133"/>
      <c r="GV80" s="133"/>
      <c r="GW80" s="133"/>
      <c r="GX80" s="133"/>
      <c r="GY80" s="133"/>
      <c r="GZ80" s="133"/>
      <c r="HA80" s="133"/>
      <c r="HB80" s="133"/>
      <c r="HC80" s="133"/>
      <c r="HD80" s="133"/>
      <c r="HE80" s="133"/>
      <c r="HF80" s="133"/>
      <c r="HG80" s="133"/>
      <c r="HH80" s="133"/>
      <c r="HI80" s="133"/>
      <c r="HJ80" s="133"/>
      <c r="HK80" s="133"/>
      <c r="HL80" s="133"/>
      <c r="HM80" s="133"/>
      <c r="HN80" s="133"/>
      <c r="HO80" s="133"/>
      <c r="HP80" s="133"/>
      <c r="HQ80" s="133"/>
      <c r="HR80" s="133"/>
      <c r="HS80" s="133"/>
      <c r="HT80" s="133"/>
      <c r="HU80" s="133"/>
      <c r="HV80" s="133"/>
      <c r="HW80" s="133"/>
      <c r="HX80" s="133"/>
      <c r="HY80" s="133"/>
      <c r="HZ80" s="133"/>
      <c r="IA80" s="133"/>
      <c r="IB80" s="133"/>
      <c r="IC80" s="133"/>
      <c r="ID80" s="133"/>
      <c r="IE80" s="133"/>
      <c r="IF80" s="133"/>
      <c r="IG80" s="133"/>
      <c r="IH80" s="133"/>
      <c r="II80" s="133"/>
      <c r="IJ80" s="133"/>
      <c r="IK80" s="133"/>
      <c r="IL80" s="133"/>
      <c r="IM80" s="133"/>
      <c r="IN80" s="133"/>
      <c r="IO80" s="133"/>
      <c r="IP80" s="133"/>
      <c r="IQ80" s="133"/>
      <c r="IR80" s="133"/>
      <c r="IS80" s="133"/>
      <c r="IT80" s="133"/>
      <c r="IU80" s="133"/>
      <c r="IV80" s="133"/>
    </row>
    <row r="81" spans="1:256" s="151" customFormat="1" ht="12.6" customHeight="1">
      <c r="A81" s="145">
        <v>41</v>
      </c>
      <c r="B81" s="146" t="s">
        <v>866</v>
      </c>
      <c r="C81" s="174">
        <f t="shared" si="22"/>
        <v>0</v>
      </c>
      <c r="D81" s="154">
        <f>SUMIFS('Plan rashoda za unos u SAP'!$J$3:$J$501,'Plan rashoda za unos u SAP'!$C$3:$C$501,"=11",'Plan rashoda za unos u SAP'!$N$3:$N$501,"=41")</f>
        <v>0</v>
      </c>
      <c r="E81" s="154">
        <f>SUMIFS('Plan rashoda za unos u SAP'!$J$3:$J$501,'Plan rashoda za unos u SAP'!$C$3:$C$501,"=12",'Plan rashoda za unos u SAP'!$N$3:$N$501,"=41")</f>
        <v>0</v>
      </c>
      <c r="F81" s="154">
        <f>SUMIFS('Plan rashoda za unos u SAP'!$J$3:$J$501,'Plan rashoda za unos u SAP'!$C$3:$C$501,"=31",'Plan rashoda za unos u SAP'!$N$3:$N$501,"=41")</f>
        <v>0</v>
      </c>
      <c r="G81" s="154">
        <f>SUMIFS('Plan rashoda za unos u SAP'!$J$3:$J$501,'Plan rashoda za unos u SAP'!$C$3:$C$501,"=43",'Plan rashoda za unos u SAP'!$N$3:$N$501,"=41")</f>
        <v>0</v>
      </c>
      <c r="H81" s="154">
        <f>SUMIFS('Plan rashoda za unos u SAP'!$J$3:$J$501,'Plan rashoda za unos u SAP'!$C$3:$C$501,"=51",'Plan rashoda za unos u SAP'!$N$3:$N$501,"=41")</f>
        <v>0</v>
      </c>
      <c r="I81" s="154">
        <f>SUMIFS('Plan rashoda za unos u SAP'!$J$3:$J$501,'Plan rashoda za unos u SAP'!$C$3:$C$501,"=52",'Plan rashoda za unos u SAP'!$N$3:$N$501,"=41")</f>
        <v>0</v>
      </c>
      <c r="J81" s="154">
        <f>SUMIFS('Plan rashoda za unos u SAP'!$J$3:$J$501,'Plan rashoda za unos u SAP'!$C$3:$C$501,"=559",'Plan rashoda za unos u SAP'!$N$3:$N$501,"=41")</f>
        <v>0</v>
      </c>
      <c r="K81" s="154">
        <f>SUMIFS('Plan rashoda za unos u SAP'!$J$3:$J$501,'Plan rashoda za unos u SAP'!$C$3:$C$501,"=561",'Plan rashoda za unos u SAP'!$N$3:$N$501,"=41")</f>
        <v>0</v>
      </c>
      <c r="L81" s="154">
        <f>SUMIFS('Plan rashoda za unos u SAP'!$J$3:$J$501,'Plan rashoda za unos u SAP'!$C$3:$C$501,"=563",'Plan rashoda za unos u SAP'!$N$3:$N$501,"=41")</f>
        <v>0</v>
      </c>
      <c r="M81" s="154">
        <f>SUMIFS('Plan rashoda za unos u SAP'!$J$3:$J$501,'Plan rashoda za unos u SAP'!$C$3:$C$501,"=61",'Plan rashoda za unos u SAP'!$N$3:$N$501,"=41")</f>
        <v>0</v>
      </c>
      <c r="N81" s="154">
        <f>SUMIFS('Plan rashoda za unos u SAP'!$J$3:$J$501,'Plan rashoda za unos u SAP'!$C$3:$C$501,"=63",'Plan rashoda za unos u SAP'!$N$3:$N$501,"=41")</f>
        <v>0</v>
      </c>
      <c r="O81" s="154">
        <f>SUMIFS('Plan rashoda za unos u SAP'!$J$3:$J$501,'Plan rashoda za unos u SAP'!$C$3:$C$501,"=71",'Plan rashoda za unos u SAP'!$N$3:$N$501,"=41")</f>
        <v>0</v>
      </c>
      <c r="P81" s="154">
        <f>SUMIFS('Plan rashoda za unos u SAP'!$J$3:$J$501,'Plan rashoda za unos u SAP'!$C$3:$C$501,"=81",'Plan rashoda za unos u SAP'!$N$3:$N$501,"=41")</f>
        <v>0</v>
      </c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59"/>
      <c r="BM81" s="159"/>
      <c r="BN81" s="159"/>
      <c r="BO81" s="159"/>
      <c r="BP81" s="159"/>
      <c r="BQ81" s="159"/>
      <c r="BR81" s="159"/>
      <c r="BS81" s="159"/>
      <c r="BT81" s="159"/>
      <c r="BU81" s="159"/>
      <c r="BV81" s="159"/>
      <c r="BW81" s="159"/>
      <c r="BX81" s="159"/>
      <c r="BY81" s="159"/>
      <c r="BZ81" s="159"/>
      <c r="CA81" s="159"/>
      <c r="CB81" s="159"/>
      <c r="CC81" s="159"/>
      <c r="CD81" s="159"/>
      <c r="CE81" s="159"/>
      <c r="CF81" s="159"/>
      <c r="CG81" s="159"/>
      <c r="CH81" s="159"/>
      <c r="CI81" s="159"/>
      <c r="CJ81" s="159"/>
      <c r="CK81" s="159"/>
      <c r="CL81" s="159"/>
      <c r="CM81" s="159"/>
      <c r="CN81" s="159"/>
      <c r="CO81" s="159"/>
      <c r="CP81" s="159"/>
      <c r="CQ81" s="159"/>
      <c r="CR81" s="159"/>
      <c r="CS81" s="159"/>
      <c r="CT81" s="159"/>
      <c r="CU81" s="159"/>
      <c r="CV81" s="159"/>
      <c r="CW81" s="159"/>
      <c r="CX81" s="159"/>
      <c r="CY81" s="159"/>
      <c r="CZ81" s="159"/>
      <c r="DA81" s="159"/>
      <c r="DB81" s="159"/>
      <c r="DC81" s="159"/>
      <c r="DD81" s="159"/>
      <c r="DE81" s="159"/>
      <c r="DF81" s="159"/>
      <c r="DG81" s="159"/>
      <c r="DH81" s="159"/>
      <c r="DI81" s="159"/>
      <c r="DJ81" s="159"/>
      <c r="DK81" s="159"/>
      <c r="DL81" s="159"/>
      <c r="DM81" s="159"/>
      <c r="DN81" s="159"/>
      <c r="DO81" s="159"/>
      <c r="DP81" s="159"/>
      <c r="DQ81" s="159"/>
      <c r="DR81" s="159"/>
      <c r="DS81" s="159"/>
      <c r="DT81" s="159"/>
      <c r="DU81" s="159"/>
      <c r="DV81" s="159"/>
      <c r="DW81" s="159"/>
      <c r="DX81" s="159"/>
      <c r="DY81" s="159"/>
      <c r="DZ81" s="159"/>
      <c r="EA81" s="159"/>
      <c r="EB81" s="159"/>
      <c r="EC81" s="159"/>
      <c r="ED81" s="159"/>
      <c r="EE81" s="159"/>
      <c r="EF81" s="159"/>
      <c r="EG81" s="159"/>
      <c r="EH81" s="159"/>
      <c r="EI81" s="159"/>
      <c r="EJ81" s="159"/>
      <c r="EK81" s="159"/>
      <c r="EL81" s="159"/>
      <c r="EM81" s="159"/>
      <c r="EN81" s="159"/>
      <c r="EO81" s="159"/>
      <c r="EP81" s="159"/>
      <c r="EQ81" s="159"/>
      <c r="ER81" s="159"/>
      <c r="ES81" s="159"/>
      <c r="ET81" s="159"/>
      <c r="EU81" s="159"/>
      <c r="EV81" s="159"/>
      <c r="EW81" s="159"/>
      <c r="EX81" s="159"/>
      <c r="EY81" s="159"/>
      <c r="EZ81" s="159"/>
      <c r="FA81" s="159"/>
      <c r="FB81" s="159"/>
      <c r="FC81" s="159"/>
      <c r="FD81" s="159"/>
      <c r="FE81" s="159"/>
      <c r="FF81" s="159"/>
      <c r="FG81" s="159"/>
      <c r="FH81" s="159"/>
      <c r="FI81" s="159"/>
      <c r="FJ81" s="159"/>
      <c r="FK81" s="159"/>
      <c r="FL81" s="159"/>
      <c r="FM81" s="159"/>
      <c r="FN81" s="159"/>
      <c r="FO81" s="159"/>
      <c r="FP81" s="159"/>
      <c r="FQ81" s="159"/>
      <c r="FR81" s="159"/>
      <c r="FS81" s="159"/>
      <c r="FT81" s="159"/>
      <c r="FU81" s="159"/>
      <c r="FV81" s="159"/>
      <c r="FW81" s="159"/>
      <c r="FX81" s="159"/>
      <c r="FY81" s="159"/>
      <c r="FZ81" s="159"/>
      <c r="GA81" s="159"/>
      <c r="GB81" s="159"/>
      <c r="GC81" s="159"/>
      <c r="GD81" s="159"/>
      <c r="GE81" s="160"/>
      <c r="GF81" s="160"/>
      <c r="GG81" s="160"/>
      <c r="GH81" s="160"/>
      <c r="GI81" s="160"/>
      <c r="GJ81" s="160"/>
      <c r="GK81" s="160"/>
      <c r="GL81" s="160"/>
      <c r="GM81" s="160"/>
      <c r="GN81" s="160"/>
      <c r="GO81" s="160"/>
      <c r="GP81" s="160"/>
      <c r="GQ81" s="160"/>
      <c r="GR81" s="160"/>
      <c r="GS81" s="160"/>
      <c r="GT81" s="160"/>
      <c r="GU81" s="160"/>
      <c r="GV81" s="160"/>
      <c r="GW81" s="160"/>
      <c r="GX81" s="160"/>
      <c r="GY81" s="160"/>
      <c r="GZ81" s="160"/>
      <c r="HA81" s="160"/>
      <c r="HB81" s="160"/>
      <c r="HC81" s="160"/>
      <c r="HD81" s="160"/>
      <c r="HE81" s="160"/>
      <c r="HF81" s="160"/>
      <c r="HG81" s="160"/>
      <c r="HH81" s="160"/>
      <c r="HI81" s="160"/>
      <c r="HJ81" s="160"/>
      <c r="HK81" s="160"/>
      <c r="HL81" s="160"/>
      <c r="HM81" s="160"/>
      <c r="HN81" s="160"/>
      <c r="HO81" s="160"/>
      <c r="HP81" s="160"/>
      <c r="HQ81" s="160"/>
      <c r="HR81" s="160"/>
      <c r="HS81" s="160"/>
      <c r="HT81" s="160"/>
      <c r="HU81" s="160"/>
      <c r="HV81" s="160"/>
      <c r="HW81" s="160"/>
      <c r="HX81" s="160"/>
      <c r="HY81" s="160"/>
      <c r="HZ81" s="160"/>
      <c r="IA81" s="160"/>
      <c r="IB81" s="160"/>
      <c r="IC81" s="160"/>
      <c r="ID81" s="160"/>
      <c r="IE81" s="160"/>
      <c r="IF81" s="160"/>
      <c r="IG81" s="160"/>
      <c r="IH81" s="160"/>
      <c r="II81" s="160"/>
      <c r="IJ81" s="160"/>
      <c r="IK81" s="160"/>
      <c r="IL81" s="160"/>
      <c r="IM81" s="160"/>
      <c r="IN81" s="160"/>
      <c r="IO81" s="160"/>
      <c r="IP81" s="160"/>
      <c r="IQ81" s="160"/>
      <c r="IR81" s="160"/>
      <c r="IS81" s="160"/>
      <c r="IT81" s="160"/>
      <c r="IU81" s="160"/>
      <c r="IV81" s="160"/>
    </row>
    <row r="82" spans="1:256" s="166" customFormat="1" ht="12.6" customHeight="1">
      <c r="A82" s="157">
        <v>42</v>
      </c>
      <c r="B82" s="158" t="s">
        <v>869</v>
      </c>
      <c r="C82" s="174">
        <f t="shared" si="22"/>
        <v>0</v>
      </c>
      <c r="D82" s="154">
        <f>SUMIFS('Plan rashoda za unos u SAP'!$J$3:$J$501,'Plan rashoda za unos u SAP'!$C$3:$C$501,"=11",'Plan rashoda za unos u SAP'!$N$3:$N$501,"=42")</f>
        <v>0</v>
      </c>
      <c r="E82" s="154">
        <f>SUMIFS('Plan rashoda za unos u SAP'!$J$3:$J$501,'Plan rashoda za unos u SAP'!$C$3:$C$501,"=12",'Plan rashoda za unos u SAP'!$N$3:$N$501,"=42")</f>
        <v>0</v>
      </c>
      <c r="F82" s="154">
        <f>SUMIFS('Plan rashoda za unos u SAP'!$J$3:$J$501,'Plan rashoda za unos u SAP'!$C$3:$C$501,"=31",'Plan rashoda za unos u SAP'!$N$3:$N$501,"=42")</f>
        <v>0</v>
      </c>
      <c r="G82" s="154">
        <f>SUMIFS('Plan rashoda za unos u SAP'!$J$3:$J$501,'Plan rashoda za unos u SAP'!$C$3:$C$501,"=43",'Plan rashoda za unos u SAP'!$N$3:$N$501,"=42")</f>
        <v>0</v>
      </c>
      <c r="H82" s="154">
        <f>SUMIFS('Plan rashoda za unos u SAP'!$J$3:$J$501,'Plan rashoda za unos u SAP'!$C$3:$C$501,"=51",'Plan rashoda za unos u SAP'!$N$3:$N$501,"=42")</f>
        <v>0</v>
      </c>
      <c r="I82" s="154">
        <f>SUMIFS('Plan rashoda za unos u SAP'!$J$3:$J$501,'Plan rashoda za unos u SAP'!$C$3:$C$501,"=52",'Plan rashoda za unos u SAP'!$N$3:$N$501,"=42")</f>
        <v>0</v>
      </c>
      <c r="J82" s="154">
        <f>SUMIFS('Plan rashoda za unos u SAP'!$J$3:$J$501,'Plan rashoda za unos u SAP'!$C$3:$C$501,"=559",'Plan rashoda za unos u SAP'!$N$3:$N$501,"=42")</f>
        <v>0</v>
      </c>
      <c r="K82" s="154">
        <f>SUMIFS('Plan rashoda za unos u SAP'!$J$3:$J$501,'Plan rashoda za unos u SAP'!$C$3:$C$501,"=561",'Plan rashoda za unos u SAP'!$N$3:$N$501,"=42")</f>
        <v>0</v>
      </c>
      <c r="L82" s="154">
        <f>SUMIFS('Plan rashoda za unos u SAP'!$J$3:$J$501,'Plan rashoda za unos u SAP'!$C$3:$C$501,"=563",'Plan rashoda za unos u SAP'!$N$3:$N$501,"=42")</f>
        <v>0</v>
      </c>
      <c r="M82" s="154">
        <f>SUMIFS('Plan rashoda za unos u SAP'!$J$3:$J$501,'Plan rashoda za unos u SAP'!$C$3:$C$501,"=61",'Plan rashoda za unos u SAP'!$N$3:$N$501,"=42")</f>
        <v>0</v>
      </c>
      <c r="N82" s="154">
        <f>SUMIFS('Plan rashoda za unos u SAP'!$J$3:$J$501,'Plan rashoda za unos u SAP'!$C$3:$C$501,"=63",'Plan rashoda za unos u SAP'!$N$3:$N$501,"=42")</f>
        <v>0</v>
      </c>
      <c r="O82" s="154">
        <f>SUMIFS('Plan rashoda za unos u SAP'!$J$3:$J$501,'Plan rashoda za unos u SAP'!$C$3:$C$501,"=71",'Plan rashoda za unos u SAP'!$N$3:$N$501,"=42")</f>
        <v>0</v>
      </c>
      <c r="P82" s="154">
        <f>SUMIFS('Plan rashoda za unos u SAP'!$J$3:$J$501,'Plan rashoda za unos u SAP'!$C$3:$C$501,"=81",'Plan rashoda za unos u SAP'!$N$3:$N$501,"=42")</f>
        <v>0</v>
      </c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59"/>
      <c r="BK82" s="159"/>
      <c r="BL82" s="159"/>
      <c r="BM82" s="159"/>
      <c r="BN82" s="159"/>
      <c r="BO82" s="159"/>
      <c r="BP82" s="159"/>
      <c r="BQ82" s="159"/>
      <c r="BR82" s="159"/>
      <c r="BS82" s="159"/>
      <c r="BT82" s="159"/>
      <c r="BU82" s="159"/>
      <c r="BV82" s="159"/>
      <c r="BW82" s="159"/>
      <c r="BX82" s="159"/>
      <c r="BY82" s="159"/>
      <c r="BZ82" s="159"/>
      <c r="CA82" s="159"/>
      <c r="CB82" s="159"/>
      <c r="CC82" s="159"/>
      <c r="CD82" s="159"/>
      <c r="CE82" s="159"/>
      <c r="CF82" s="159"/>
      <c r="CG82" s="159"/>
      <c r="CH82" s="159"/>
      <c r="CI82" s="159"/>
      <c r="CJ82" s="159"/>
      <c r="CK82" s="159"/>
      <c r="CL82" s="159"/>
      <c r="CM82" s="159"/>
      <c r="CN82" s="159"/>
      <c r="CO82" s="159"/>
      <c r="CP82" s="159"/>
      <c r="CQ82" s="159"/>
      <c r="CR82" s="159"/>
      <c r="CS82" s="159"/>
      <c r="CT82" s="159"/>
      <c r="CU82" s="159"/>
      <c r="CV82" s="159"/>
      <c r="CW82" s="159"/>
      <c r="CX82" s="159"/>
      <c r="CY82" s="159"/>
      <c r="CZ82" s="159"/>
      <c r="DA82" s="159"/>
      <c r="DB82" s="159"/>
      <c r="DC82" s="159"/>
      <c r="DD82" s="159"/>
      <c r="DE82" s="159"/>
      <c r="DF82" s="159"/>
      <c r="DG82" s="159"/>
      <c r="DH82" s="159"/>
      <c r="DI82" s="159"/>
      <c r="DJ82" s="159"/>
      <c r="DK82" s="159"/>
      <c r="DL82" s="159"/>
      <c r="DM82" s="159"/>
      <c r="DN82" s="159"/>
      <c r="DO82" s="159"/>
      <c r="DP82" s="159"/>
      <c r="DQ82" s="159"/>
      <c r="DR82" s="159"/>
      <c r="DS82" s="159"/>
      <c r="DT82" s="159"/>
      <c r="DU82" s="159"/>
      <c r="DV82" s="159"/>
      <c r="DW82" s="159"/>
      <c r="DX82" s="159"/>
      <c r="DY82" s="159"/>
      <c r="DZ82" s="159"/>
      <c r="EA82" s="159"/>
      <c r="EB82" s="159"/>
      <c r="EC82" s="159"/>
      <c r="ED82" s="159"/>
      <c r="EE82" s="159"/>
      <c r="EF82" s="159"/>
      <c r="EG82" s="159"/>
      <c r="EH82" s="159"/>
      <c r="EI82" s="159"/>
      <c r="EJ82" s="159"/>
      <c r="EK82" s="159"/>
      <c r="EL82" s="159"/>
      <c r="EM82" s="159"/>
      <c r="EN82" s="159"/>
      <c r="EO82" s="159"/>
      <c r="EP82" s="159"/>
      <c r="EQ82" s="159"/>
      <c r="ER82" s="159"/>
      <c r="ES82" s="159"/>
      <c r="ET82" s="159"/>
      <c r="EU82" s="159"/>
      <c r="EV82" s="159"/>
      <c r="EW82" s="159"/>
      <c r="EX82" s="159"/>
      <c r="EY82" s="159"/>
      <c r="EZ82" s="159"/>
      <c r="FA82" s="159"/>
      <c r="FB82" s="159"/>
      <c r="FC82" s="159"/>
      <c r="FD82" s="159"/>
      <c r="FE82" s="159"/>
      <c r="FF82" s="159"/>
      <c r="FG82" s="159"/>
      <c r="FH82" s="159"/>
      <c r="FI82" s="159"/>
      <c r="FJ82" s="159"/>
      <c r="FK82" s="159"/>
      <c r="FL82" s="159"/>
      <c r="FM82" s="159"/>
      <c r="FN82" s="159"/>
      <c r="FO82" s="159"/>
      <c r="FP82" s="159"/>
      <c r="FQ82" s="159"/>
      <c r="FR82" s="159"/>
      <c r="FS82" s="159"/>
      <c r="FT82" s="159"/>
      <c r="FU82" s="159"/>
      <c r="FV82" s="159"/>
      <c r="FW82" s="159"/>
      <c r="FX82" s="159"/>
      <c r="FY82" s="159"/>
      <c r="FZ82" s="159"/>
      <c r="GA82" s="159"/>
      <c r="GB82" s="159"/>
      <c r="GC82" s="159"/>
      <c r="GD82" s="159"/>
      <c r="GE82" s="160"/>
      <c r="GF82" s="160"/>
      <c r="GG82" s="160"/>
      <c r="GH82" s="160"/>
      <c r="GI82" s="160"/>
      <c r="GJ82" s="160"/>
      <c r="GK82" s="160"/>
      <c r="GL82" s="160"/>
      <c r="GM82" s="160"/>
      <c r="GN82" s="160"/>
      <c r="GO82" s="160"/>
      <c r="GP82" s="160"/>
      <c r="GQ82" s="160"/>
      <c r="GR82" s="160"/>
      <c r="GS82" s="160"/>
      <c r="GT82" s="160"/>
      <c r="GU82" s="160"/>
      <c r="GV82" s="160"/>
      <c r="GW82" s="160"/>
      <c r="GX82" s="160"/>
      <c r="GY82" s="160"/>
      <c r="GZ82" s="160"/>
      <c r="HA82" s="160"/>
      <c r="HB82" s="160"/>
      <c r="HC82" s="160"/>
      <c r="HD82" s="160"/>
      <c r="HE82" s="160"/>
      <c r="HF82" s="160"/>
      <c r="HG82" s="160"/>
      <c r="HH82" s="160"/>
      <c r="HI82" s="160"/>
      <c r="HJ82" s="160"/>
      <c r="HK82" s="160"/>
      <c r="HL82" s="160"/>
      <c r="HM82" s="160"/>
      <c r="HN82" s="160"/>
      <c r="HO82" s="160"/>
      <c r="HP82" s="160"/>
      <c r="HQ82" s="160"/>
      <c r="HR82" s="160"/>
      <c r="HS82" s="160"/>
      <c r="HT82" s="160"/>
      <c r="HU82" s="160"/>
      <c r="HV82" s="160"/>
      <c r="HW82" s="160"/>
      <c r="HX82" s="160"/>
      <c r="HY82" s="160"/>
      <c r="HZ82" s="160"/>
      <c r="IA82" s="160"/>
      <c r="IB82" s="160"/>
      <c r="IC82" s="160"/>
      <c r="ID82" s="160"/>
      <c r="IE82" s="160"/>
      <c r="IF82" s="160"/>
      <c r="IG82" s="160"/>
      <c r="IH82" s="160"/>
      <c r="II82" s="160"/>
      <c r="IJ82" s="160"/>
      <c r="IK82" s="160"/>
      <c r="IL82" s="160"/>
      <c r="IM82" s="160"/>
      <c r="IN82" s="160"/>
      <c r="IO82" s="160"/>
      <c r="IP82" s="160"/>
      <c r="IQ82" s="160"/>
      <c r="IR82" s="160"/>
      <c r="IS82" s="160"/>
      <c r="IT82" s="160"/>
      <c r="IU82" s="160"/>
      <c r="IV82" s="160"/>
    </row>
    <row r="83" spans="1:256" s="151" customFormat="1" ht="12.6" customHeight="1">
      <c r="A83" s="145">
        <v>43</v>
      </c>
      <c r="B83" s="146" t="s">
        <v>876</v>
      </c>
      <c r="C83" s="174">
        <f t="shared" si="22"/>
        <v>0</v>
      </c>
      <c r="D83" s="154">
        <f>SUMIFS('Plan rashoda za unos u SAP'!$J$3:$J$501,'Plan rashoda za unos u SAP'!$C$3:$C$501,"=11",'Plan rashoda za unos u SAP'!$N$3:$N$501,"=43")</f>
        <v>0</v>
      </c>
      <c r="E83" s="154">
        <f>SUMIFS('Plan rashoda za unos u SAP'!$J$3:$J$501,'Plan rashoda za unos u SAP'!$C$3:$C$501,"=12",'Plan rashoda za unos u SAP'!$N$3:$N$501,"=43")</f>
        <v>0</v>
      </c>
      <c r="F83" s="154">
        <f>SUMIFS('Plan rashoda za unos u SAP'!$J$3:$J$501,'Plan rashoda za unos u SAP'!$C$3:$C$501,"=31",'Plan rashoda za unos u SAP'!$N$3:$N$501,"=43")</f>
        <v>0</v>
      </c>
      <c r="G83" s="154">
        <f>SUMIFS('Plan rashoda za unos u SAP'!$J$3:$J$501,'Plan rashoda za unos u SAP'!$C$3:$C$501,"=43",'Plan rashoda za unos u SAP'!$N$3:$N$501,"=43")</f>
        <v>0</v>
      </c>
      <c r="H83" s="154">
        <f>SUMIFS('Plan rashoda za unos u SAP'!$J$3:$J$501,'Plan rashoda za unos u SAP'!$C$3:$C$501,"=51",'Plan rashoda za unos u SAP'!$N$3:$N$501,"=43")</f>
        <v>0</v>
      </c>
      <c r="I83" s="154">
        <f>SUMIFS('Plan rashoda za unos u SAP'!$J$3:$J$501,'Plan rashoda za unos u SAP'!$C$3:$C$501,"=52",'Plan rashoda za unos u SAP'!$N$3:$N$501,"=43")</f>
        <v>0</v>
      </c>
      <c r="J83" s="154">
        <f>SUMIFS('Plan rashoda za unos u SAP'!$J$3:$J$501,'Plan rashoda za unos u SAP'!$C$3:$C$501,"=559",'Plan rashoda za unos u SAP'!$N$3:$N$501,"=43")</f>
        <v>0</v>
      </c>
      <c r="K83" s="154">
        <f>SUMIFS('Plan rashoda za unos u SAP'!$J$3:$J$501,'Plan rashoda za unos u SAP'!$C$3:$C$501,"=561",'Plan rashoda za unos u SAP'!$N$3:$N$501,"=43")</f>
        <v>0</v>
      </c>
      <c r="L83" s="154">
        <f>SUMIFS('Plan rashoda za unos u SAP'!$J$3:$J$501,'Plan rashoda za unos u SAP'!$C$3:$C$501,"=563",'Plan rashoda za unos u SAP'!$N$3:$N$501,"=43")</f>
        <v>0</v>
      </c>
      <c r="M83" s="154">
        <f>SUMIFS('Plan rashoda za unos u SAP'!$J$3:$J$501,'Plan rashoda za unos u SAP'!$C$3:$C$501,"=61",'Plan rashoda za unos u SAP'!$N$3:$N$501,"=43")</f>
        <v>0</v>
      </c>
      <c r="N83" s="154">
        <f>SUMIFS('Plan rashoda za unos u SAP'!$J$3:$J$501,'Plan rashoda za unos u SAP'!$C$3:$C$501,"=63",'Plan rashoda za unos u SAP'!$N$3:$N$501,"=43")</f>
        <v>0</v>
      </c>
      <c r="O83" s="154">
        <f>SUMIFS('Plan rashoda za unos u SAP'!$J$3:$J$501,'Plan rashoda za unos u SAP'!$C$3:$C$501,"=71",'Plan rashoda za unos u SAP'!$N$3:$N$501,"=43")</f>
        <v>0</v>
      </c>
      <c r="P83" s="154">
        <f>SUMIFS('Plan rashoda za unos u SAP'!$J$3:$J$501,'Plan rashoda za unos u SAP'!$C$3:$C$501,"=81",'Plan rashoda za unos u SAP'!$N$3:$N$501,"=43")</f>
        <v>0</v>
      </c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49"/>
      <c r="DV83" s="149"/>
      <c r="DW83" s="149"/>
      <c r="DX83" s="149"/>
      <c r="DY83" s="149"/>
      <c r="DZ83" s="149"/>
      <c r="EA83" s="149"/>
      <c r="EB83" s="149"/>
      <c r="EC83" s="149"/>
      <c r="ED83" s="149"/>
      <c r="EE83" s="149"/>
      <c r="EF83" s="149"/>
      <c r="EG83" s="149"/>
      <c r="EH83" s="149"/>
      <c r="EI83" s="149"/>
      <c r="EJ83" s="149"/>
      <c r="EK83" s="149"/>
      <c r="EL83" s="149"/>
      <c r="EM83" s="149"/>
      <c r="EN83" s="149"/>
      <c r="EO83" s="149"/>
      <c r="EP83" s="149"/>
      <c r="EQ83" s="149"/>
      <c r="ER83" s="149"/>
      <c r="ES83" s="149"/>
      <c r="ET83" s="149"/>
      <c r="EU83" s="149"/>
      <c r="EV83" s="149"/>
      <c r="EW83" s="149"/>
      <c r="EX83" s="149"/>
      <c r="EY83" s="149"/>
      <c r="EZ83" s="149"/>
      <c r="FA83" s="149"/>
      <c r="FB83" s="149"/>
      <c r="FC83" s="149"/>
      <c r="FD83" s="149"/>
      <c r="FE83" s="149"/>
      <c r="FF83" s="149"/>
      <c r="FG83" s="149"/>
      <c r="FH83" s="149"/>
      <c r="FI83" s="149"/>
      <c r="FJ83" s="149"/>
      <c r="FK83" s="149"/>
      <c r="FL83" s="149"/>
      <c r="FM83" s="149"/>
      <c r="FN83" s="149"/>
      <c r="FO83" s="149"/>
      <c r="FP83" s="149"/>
      <c r="FQ83" s="149"/>
      <c r="FR83" s="149"/>
      <c r="FS83" s="149"/>
      <c r="FT83" s="149"/>
      <c r="FU83" s="149"/>
      <c r="FV83" s="149"/>
      <c r="FW83" s="149"/>
      <c r="FX83" s="149"/>
      <c r="FY83" s="149"/>
      <c r="FZ83" s="149"/>
      <c r="GA83" s="149"/>
      <c r="GB83" s="149"/>
      <c r="GC83" s="149"/>
      <c r="GD83" s="149"/>
      <c r="GE83" s="150"/>
      <c r="GF83" s="150"/>
      <c r="GG83" s="150"/>
      <c r="GH83" s="150"/>
      <c r="GI83" s="150"/>
      <c r="GJ83" s="150"/>
      <c r="GK83" s="150"/>
      <c r="GL83" s="150"/>
      <c r="GM83" s="150"/>
      <c r="GN83" s="150"/>
      <c r="GO83" s="150"/>
      <c r="GP83" s="150"/>
      <c r="GQ83" s="150"/>
      <c r="GR83" s="150"/>
      <c r="GS83" s="150"/>
      <c r="GT83" s="150"/>
      <c r="GU83" s="150"/>
      <c r="GV83" s="150"/>
      <c r="GW83" s="150"/>
      <c r="GX83" s="150"/>
      <c r="GY83" s="150"/>
      <c r="GZ83" s="150"/>
      <c r="HA83" s="150"/>
      <c r="HB83" s="150"/>
      <c r="HC83" s="150"/>
      <c r="HD83" s="150"/>
      <c r="HE83" s="150"/>
      <c r="HF83" s="150"/>
      <c r="HG83" s="150"/>
      <c r="HH83" s="150"/>
      <c r="HI83" s="150"/>
      <c r="HJ83" s="150"/>
      <c r="HK83" s="150"/>
      <c r="HL83" s="150"/>
      <c r="HM83" s="150"/>
      <c r="HN83" s="150"/>
      <c r="HO83" s="150"/>
      <c r="HP83" s="150"/>
      <c r="HQ83" s="150"/>
      <c r="HR83" s="150"/>
      <c r="HS83" s="150"/>
      <c r="HT83" s="150"/>
      <c r="HU83" s="150"/>
      <c r="HV83" s="150"/>
      <c r="HW83" s="150"/>
      <c r="HX83" s="150"/>
      <c r="HY83" s="150"/>
      <c r="HZ83" s="150"/>
      <c r="IA83" s="150"/>
      <c r="IB83" s="150"/>
      <c r="IC83" s="150"/>
      <c r="ID83" s="150"/>
      <c r="IE83" s="150"/>
      <c r="IF83" s="150"/>
      <c r="IG83" s="150"/>
      <c r="IH83" s="150"/>
      <c r="II83" s="150"/>
      <c r="IJ83" s="150"/>
      <c r="IK83" s="150"/>
      <c r="IL83" s="150"/>
      <c r="IM83" s="150"/>
      <c r="IN83" s="150"/>
      <c r="IO83" s="150"/>
      <c r="IP83" s="150"/>
      <c r="IQ83" s="150"/>
      <c r="IR83" s="150"/>
      <c r="IS83" s="150"/>
      <c r="IT83" s="150"/>
      <c r="IU83" s="150"/>
      <c r="IV83" s="150"/>
    </row>
    <row r="84" spans="1:256" s="151" customFormat="1" ht="12.6" customHeight="1">
      <c r="A84" s="145">
        <v>44</v>
      </c>
      <c r="B84" s="146" t="s">
        <v>877</v>
      </c>
      <c r="C84" s="174">
        <f t="shared" si="22"/>
        <v>0</v>
      </c>
      <c r="D84" s="154">
        <f>SUMIFS('Plan rashoda za unos u SAP'!$J$3:$J$501,'Plan rashoda za unos u SAP'!$C$3:$C$501,"=11",'Plan rashoda za unos u SAP'!$N$3:$N$501,"=44")</f>
        <v>0</v>
      </c>
      <c r="E84" s="154">
        <f>SUMIFS('Plan rashoda za unos u SAP'!$J$3:$J$501,'Plan rashoda za unos u SAP'!$C$3:$C$501,"=12",'Plan rashoda za unos u SAP'!$N$3:$N$501,"=44")</f>
        <v>0</v>
      </c>
      <c r="F84" s="154">
        <f>SUMIFS('Plan rashoda za unos u SAP'!$J$3:$J$501,'Plan rashoda za unos u SAP'!$C$3:$C$501,"=31",'Plan rashoda za unos u SAP'!$N$3:$N$501,"=44")</f>
        <v>0</v>
      </c>
      <c r="G84" s="154">
        <f>SUMIFS('Plan rashoda za unos u SAP'!$J$3:$J$501,'Plan rashoda za unos u SAP'!$C$3:$C$501,"=43",'Plan rashoda za unos u SAP'!$N$3:$N$501,"=44")</f>
        <v>0</v>
      </c>
      <c r="H84" s="154">
        <f>SUMIFS('Plan rashoda za unos u SAP'!$J$3:$J$501,'Plan rashoda za unos u SAP'!$C$3:$C$501,"=51",'Plan rashoda za unos u SAP'!$N$3:$N$501,"=44")</f>
        <v>0</v>
      </c>
      <c r="I84" s="154">
        <f>SUMIFS('Plan rashoda za unos u SAP'!$J$3:$J$501,'Plan rashoda za unos u SAP'!$C$3:$C$501,"=52",'Plan rashoda za unos u SAP'!$N$3:$N$501,"=44")</f>
        <v>0</v>
      </c>
      <c r="J84" s="154">
        <f>SUMIFS('Plan rashoda za unos u SAP'!$J$3:$J$501,'Plan rashoda za unos u SAP'!$C$3:$C$501,"=559",'Plan rashoda za unos u SAP'!$N$3:$N$501,"=44")</f>
        <v>0</v>
      </c>
      <c r="K84" s="154">
        <f>SUMIFS('Plan rashoda za unos u SAP'!$J$3:$J$501,'Plan rashoda za unos u SAP'!$C$3:$C$501,"=561",'Plan rashoda za unos u SAP'!$N$3:$N$501,"=44")</f>
        <v>0</v>
      </c>
      <c r="L84" s="154">
        <f>SUMIFS('Plan rashoda za unos u SAP'!$J$3:$J$501,'Plan rashoda za unos u SAP'!$C$3:$C$501,"=563",'Plan rashoda za unos u SAP'!$N$3:$N$501,"=44")</f>
        <v>0</v>
      </c>
      <c r="M84" s="154">
        <f>SUMIFS('Plan rashoda za unos u SAP'!$J$3:$J$501,'Plan rashoda za unos u SAP'!$C$3:$C$501,"=61",'Plan rashoda za unos u SAP'!$N$3:$N$501,"=44")</f>
        <v>0</v>
      </c>
      <c r="N84" s="154">
        <f>SUMIFS('Plan rashoda za unos u SAP'!$J$3:$J$501,'Plan rashoda za unos u SAP'!$C$3:$C$501,"=63",'Plan rashoda za unos u SAP'!$N$3:$N$501,"=44")</f>
        <v>0</v>
      </c>
      <c r="O84" s="154">
        <f>SUMIFS('Plan rashoda za unos u SAP'!$J$3:$J$501,'Plan rashoda za unos u SAP'!$C$3:$C$501,"=71",'Plan rashoda za unos u SAP'!$N$3:$N$501,"=44")</f>
        <v>0</v>
      </c>
      <c r="P84" s="154">
        <f>SUMIFS('Plan rashoda za unos u SAP'!$J$3:$J$501,'Plan rashoda za unos u SAP'!$C$3:$C$501,"=81",'Plan rashoda za unos u SAP'!$N$3:$N$501,"=44")</f>
        <v>0</v>
      </c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49"/>
      <c r="DV84" s="149"/>
      <c r="DW84" s="149"/>
      <c r="DX84" s="149"/>
      <c r="DY84" s="149"/>
      <c r="DZ84" s="149"/>
      <c r="EA84" s="149"/>
      <c r="EB84" s="149"/>
      <c r="EC84" s="149"/>
      <c r="ED84" s="149"/>
      <c r="EE84" s="149"/>
      <c r="EF84" s="149"/>
      <c r="EG84" s="149"/>
      <c r="EH84" s="149"/>
      <c r="EI84" s="149"/>
      <c r="EJ84" s="149"/>
      <c r="EK84" s="149"/>
      <c r="EL84" s="149"/>
      <c r="EM84" s="149"/>
      <c r="EN84" s="149"/>
      <c r="EO84" s="149"/>
      <c r="EP84" s="149"/>
      <c r="EQ84" s="149"/>
      <c r="ER84" s="149"/>
      <c r="ES84" s="149"/>
      <c r="ET84" s="149"/>
      <c r="EU84" s="149"/>
      <c r="EV84" s="149"/>
      <c r="EW84" s="149"/>
      <c r="EX84" s="149"/>
      <c r="EY84" s="149"/>
      <c r="EZ84" s="149"/>
      <c r="FA84" s="149"/>
      <c r="FB84" s="149"/>
      <c r="FC84" s="149"/>
      <c r="FD84" s="149"/>
      <c r="FE84" s="149"/>
      <c r="FF84" s="149"/>
      <c r="FG84" s="149"/>
      <c r="FH84" s="149"/>
      <c r="FI84" s="149"/>
      <c r="FJ84" s="149"/>
      <c r="FK84" s="149"/>
      <c r="FL84" s="149"/>
      <c r="FM84" s="149"/>
      <c r="FN84" s="149"/>
      <c r="FO84" s="149"/>
      <c r="FP84" s="149"/>
      <c r="FQ84" s="149"/>
      <c r="FR84" s="149"/>
      <c r="FS84" s="149"/>
      <c r="FT84" s="149"/>
      <c r="FU84" s="149"/>
      <c r="FV84" s="149"/>
      <c r="FW84" s="149"/>
      <c r="FX84" s="149"/>
      <c r="FY84" s="149"/>
      <c r="FZ84" s="149"/>
      <c r="GA84" s="149"/>
      <c r="GB84" s="149"/>
      <c r="GC84" s="149"/>
      <c r="GD84" s="149"/>
      <c r="GE84" s="150"/>
      <c r="GF84" s="150"/>
      <c r="GG84" s="150"/>
      <c r="GH84" s="150"/>
      <c r="GI84" s="150"/>
      <c r="GJ84" s="150"/>
      <c r="GK84" s="150"/>
      <c r="GL84" s="150"/>
      <c r="GM84" s="150"/>
      <c r="GN84" s="150"/>
      <c r="GO84" s="150"/>
      <c r="GP84" s="150"/>
      <c r="GQ84" s="150"/>
      <c r="GR84" s="150"/>
      <c r="GS84" s="150"/>
      <c r="GT84" s="150"/>
      <c r="GU84" s="150"/>
      <c r="GV84" s="150"/>
      <c r="GW84" s="150"/>
      <c r="GX84" s="150"/>
      <c r="GY84" s="150"/>
      <c r="GZ84" s="150"/>
      <c r="HA84" s="150"/>
      <c r="HB84" s="150"/>
      <c r="HC84" s="150"/>
      <c r="HD84" s="150"/>
      <c r="HE84" s="150"/>
      <c r="HF84" s="150"/>
      <c r="HG84" s="150"/>
      <c r="HH84" s="150"/>
      <c r="HI84" s="150"/>
      <c r="HJ84" s="150"/>
      <c r="HK84" s="150"/>
      <c r="HL84" s="150"/>
      <c r="HM84" s="150"/>
      <c r="HN84" s="150"/>
      <c r="HO84" s="150"/>
      <c r="HP84" s="150"/>
      <c r="HQ84" s="150"/>
      <c r="HR84" s="150"/>
      <c r="HS84" s="150"/>
      <c r="HT84" s="150"/>
      <c r="HU84" s="150"/>
      <c r="HV84" s="150"/>
      <c r="HW84" s="150"/>
      <c r="HX84" s="150"/>
      <c r="HY84" s="150"/>
      <c r="HZ84" s="150"/>
      <c r="IA84" s="150"/>
      <c r="IB84" s="150"/>
      <c r="IC84" s="150"/>
      <c r="ID84" s="150"/>
      <c r="IE84" s="150"/>
      <c r="IF84" s="150"/>
      <c r="IG84" s="150"/>
      <c r="IH84" s="150"/>
      <c r="II84" s="150"/>
      <c r="IJ84" s="150"/>
      <c r="IK84" s="150"/>
      <c r="IL84" s="150"/>
      <c r="IM84" s="150"/>
      <c r="IN84" s="150"/>
      <c r="IO84" s="150"/>
      <c r="IP84" s="150"/>
      <c r="IQ84" s="150"/>
      <c r="IR84" s="150"/>
      <c r="IS84" s="150"/>
      <c r="IT84" s="150"/>
      <c r="IU84" s="150"/>
      <c r="IV84" s="150"/>
    </row>
    <row r="85" spans="1:256" s="166" customFormat="1" ht="12.6" customHeight="1">
      <c r="A85" s="157">
        <v>45</v>
      </c>
      <c r="B85" s="158" t="s">
        <v>879</v>
      </c>
      <c r="C85" s="174">
        <f t="shared" si="22"/>
        <v>0</v>
      </c>
      <c r="D85" s="154">
        <f>SUMIFS('Plan rashoda za unos u SAP'!$J$3:$J$501,'Plan rashoda za unos u SAP'!$C$3:$C$501,"=11",'Plan rashoda za unos u SAP'!$N$3:$N$501,"=45")</f>
        <v>0</v>
      </c>
      <c r="E85" s="154">
        <f>SUMIFS('Plan rashoda za unos u SAP'!$J$3:$J$501,'Plan rashoda za unos u SAP'!$C$3:$C$501,"=12",'Plan rashoda za unos u SAP'!$N$3:$N$501,"=45")</f>
        <v>0</v>
      </c>
      <c r="F85" s="154">
        <f>SUMIFS('Plan rashoda za unos u SAP'!$J$3:$J$501,'Plan rashoda za unos u SAP'!$C$3:$C$501,"=31",'Plan rashoda za unos u SAP'!$N$3:$N$501,"=45")</f>
        <v>0</v>
      </c>
      <c r="G85" s="154">
        <f>SUMIFS('Plan rashoda za unos u SAP'!$J$3:$J$501,'Plan rashoda za unos u SAP'!$C$3:$C$501,"=43",'Plan rashoda za unos u SAP'!$N$3:$N$501,"=45")</f>
        <v>0</v>
      </c>
      <c r="H85" s="154">
        <f>SUMIFS('Plan rashoda za unos u SAP'!$J$3:$J$501,'Plan rashoda za unos u SAP'!$C$3:$C$501,"=51",'Plan rashoda za unos u SAP'!$N$3:$N$501,"=45")</f>
        <v>0</v>
      </c>
      <c r="I85" s="154">
        <f>SUMIFS('Plan rashoda za unos u SAP'!$J$3:$J$501,'Plan rashoda za unos u SAP'!$C$3:$C$501,"=52",'Plan rashoda za unos u SAP'!$N$3:$N$501,"=45")</f>
        <v>0</v>
      </c>
      <c r="J85" s="154">
        <f>SUMIFS('Plan rashoda za unos u SAP'!$J$3:$J$501,'Plan rashoda za unos u SAP'!$C$3:$C$501,"=559",'Plan rashoda za unos u SAP'!$N$3:$N$501,"=45")</f>
        <v>0</v>
      </c>
      <c r="K85" s="154">
        <f>SUMIFS('Plan rashoda za unos u SAP'!$J$3:$J$501,'Plan rashoda za unos u SAP'!$C$3:$C$501,"=561",'Plan rashoda za unos u SAP'!$N$3:$N$501,"=45")</f>
        <v>0</v>
      </c>
      <c r="L85" s="154">
        <f>SUMIFS('Plan rashoda za unos u SAP'!$J$3:$J$501,'Plan rashoda za unos u SAP'!$C$3:$C$501,"=563",'Plan rashoda za unos u SAP'!$N$3:$N$501,"=45")</f>
        <v>0</v>
      </c>
      <c r="M85" s="154">
        <f>SUMIFS('Plan rashoda za unos u SAP'!$J$3:$J$501,'Plan rashoda za unos u SAP'!$C$3:$C$501,"=61",'Plan rashoda za unos u SAP'!$N$3:$N$501,"=45")</f>
        <v>0</v>
      </c>
      <c r="N85" s="154">
        <f>SUMIFS('Plan rashoda za unos u SAP'!$J$3:$J$501,'Plan rashoda za unos u SAP'!$C$3:$C$501,"=63",'Plan rashoda za unos u SAP'!$N$3:$N$501,"=45")</f>
        <v>0</v>
      </c>
      <c r="O85" s="154">
        <f>SUMIFS('Plan rashoda za unos u SAP'!$J$3:$J$501,'Plan rashoda za unos u SAP'!$C$3:$C$501,"=71",'Plan rashoda za unos u SAP'!$N$3:$N$501,"=45")</f>
        <v>0</v>
      </c>
      <c r="P85" s="154">
        <f>SUMIFS('Plan rashoda za unos u SAP'!$J$3:$J$501,'Plan rashoda za unos u SAP'!$C$3:$C$501,"=81",'Plan rashoda za unos u SAP'!$N$3:$N$501,"=45")</f>
        <v>0</v>
      </c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F85" s="159"/>
      <c r="CG85" s="159"/>
      <c r="CH85" s="159"/>
      <c r="CI85" s="159"/>
      <c r="CJ85" s="159"/>
      <c r="CK85" s="159"/>
      <c r="CL85" s="159"/>
      <c r="CM85" s="159"/>
      <c r="CN85" s="159"/>
      <c r="CO85" s="159"/>
      <c r="CP85" s="159"/>
      <c r="CQ85" s="159"/>
      <c r="CR85" s="159"/>
      <c r="CS85" s="159"/>
      <c r="CT85" s="159"/>
      <c r="CU85" s="159"/>
      <c r="CV85" s="159"/>
      <c r="CW85" s="159"/>
      <c r="CX85" s="159"/>
      <c r="CY85" s="159"/>
      <c r="CZ85" s="159"/>
      <c r="DA85" s="159"/>
      <c r="DB85" s="159"/>
      <c r="DC85" s="159"/>
      <c r="DD85" s="159"/>
      <c r="DE85" s="159"/>
      <c r="DF85" s="159"/>
      <c r="DG85" s="159"/>
      <c r="DH85" s="159"/>
      <c r="DI85" s="159"/>
      <c r="DJ85" s="159"/>
      <c r="DK85" s="159"/>
      <c r="DL85" s="159"/>
      <c r="DM85" s="159"/>
      <c r="DN85" s="159"/>
      <c r="DO85" s="159"/>
      <c r="DP85" s="159"/>
      <c r="DQ85" s="159"/>
      <c r="DR85" s="159"/>
      <c r="DS85" s="159"/>
      <c r="DT85" s="159"/>
      <c r="DU85" s="159"/>
      <c r="DV85" s="159"/>
      <c r="DW85" s="159"/>
      <c r="DX85" s="159"/>
      <c r="DY85" s="159"/>
      <c r="DZ85" s="159"/>
      <c r="EA85" s="159"/>
      <c r="EB85" s="159"/>
      <c r="EC85" s="159"/>
      <c r="ED85" s="159"/>
      <c r="EE85" s="159"/>
      <c r="EF85" s="159"/>
      <c r="EG85" s="159"/>
      <c r="EH85" s="159"/>
      <c r="EI85" s="159"/>
      <c r="EJ85" s="159"/>
      <c r="EK85" s="159"/>
      <c r="EL85" s="159"/>
      <c r="EM85" s="159"/>
      <c r="EN85" s="159"/>
      <c r="EO85" s="159"/>
      <c r="EP85" s="159"/>
      <c r="EQ85" s="159"/>
      <c r="ER85" s="159"/>
      <c r="ES85" s="159"/>
      <c r="ET85" s="159"/>
      <c r="EU85" s="159"/>
      <c r="EV85" s="159"/>
      <c r="EW85" s="159"/>
      <c r="EX85" s="159"/>
      <c r="EY85" s="159"/>
      <c r="EZ85" s="159"/>
      <c r="FA85" s="159"/>
      <c r="FB85" s="159"/>
      <c r="FC85" s="159"/>
      <c r="FD85" s="159"/>
      <c r="FE85" s="159"/>
      <c r="FF85" s="159"/>
      <c r="FG85" s="159"/>
      <c r="FH85" s="159"/>
      <c r="FI85" s="159"/>
      <c r="FJ85" s="159"/>
      <c r="FK85" s="159"/>
      <c r="FL85" s="159"/>
      <c r="FM85" s="159"/>
      <c r="FN85" s="159"/>
      <c r="FO85" s="159"/>
      <c r="FP85" s="159"/>
      <c r="FQ85" s="159"/>
      <c r="FR85" s="159"/>
      <c r="FS85" s="159"/>
      <c r="FT85" s="159"/>
      <c r="FU85" s="159"/>
      <c r="FV85" s="159"/>
      <c r="FW85" s="159"/>
      <c r="FX85" s="159"/>
      <c r="FY85" s="159"/>
      <c r="FZ85" s="159"/>
      <c r="GA85" s="159"/>
      <c r="GB85" s="159"/>
      <c r="GC85" s="159"/>
      <c r="GD85" s="159"/>
      <c r="GE85" s="160"/>
      <c r="GF85" s="160"/>
      <c r="GG85" s="160"/>
      <c r="GH85" s="160"/>
      <c r="GI85" s="160"/>
      <c r="GJ85" s="160"/>
      <c r="GK85" s="160"/>
      <c r="GL85" s="160"/>
      <c r="GM85" s="160"/>
      <c r="GN85" s="160"/>
      <c r="GO85" s="160"/>
      <c r="GP85" s="160"/>
      <c r="GQ85" s="160"/>
      <c r="GR85" s="160"/>
      <c r="GS85" s="160"/>
      <c r="GT85" s="160"/>
      <c r="GU85" s="160"/>
      <c r="GV85" s="160"/>
      <c r="GW85" s="160"/>
      <c r="GX85" s="160"/>
      <c r="GY85" s="160"/>
      <c r="GZ85" s="160"/>
      <c r="HA85" s="160"/>
      <c r="HB85" s="160"/>
      <c r="HC85" s="160"/>
      <c r="HD85" s="160"/>
      <c r="HE85" s="160"/>
      <c r="HF85" s="160"/>
      <c r="HG85" s="160"/>
      <c r="HH85" s="160"/>
      <c r="HI85" s="160"/>
      <c r="HJ85" s="160"/>
      <c r="HK85" s="160"/>
      <c r="HL85" s="160"/>
      <c r="HM85" s="160"/>
      <c r="HN85" s="160"/>
      <c r="HO85" s="160"/>
      <c r="HP85" s="160"/>
      <c r="HQ85" s="160"/>
      <c r="HR85" s="160"/>
      <c r="HS85" s="160"/>
      <c r="HT85" s="160"/>
      <c r="HU85" s="160"/>
      <c r="HV85" s="160"/>
      <c r="HW85" s="160"/>
      <c r="HX85" s="160"/>
      <c r="HY85" s="160"/>
      <c r="HZ85" s="160"/>
      <c r="IA85" s="160"/>
      <c r="IB85" s="160"/>
      <c r="IC85" s="160"/>
      <c r="ID85" s="160"/>
      <c r="IE85" s="160"/>
      <c r="IF85" s="160"/>
      <c r="IG85" s="160"/>
      <c r="IH85" s="160"/>
      <c r="II85" s="160"/>
      <c r="IJ85" s="160"/>
      <c r="IK85" s="160"/>
      <c r="IL85" s="160"/>
      <c r="IM85" s="160"/>
      <c r="IN85" s="160"/>
      <c r="IO85" s="160"/>
      <c r="IP85" s="160"/>
      <c r="IQ85" s="160"/>
      <c r="IR85" s="160"/>
      <c r="IS85" s="160"/>
      <c r="IT85" s="160"/>
      <c r="IU85" s="160"/>
      <c r="IV85" s="160"/>
    </row>
    <row r="86" spans="1:256" s="144" customFormat="1" ht="12.6" customHeight="1">
      <c r="A86" s="140">
        <v>5</v>
      </c>
      <c r="B86" s="141" t="s">
        <v>109</v>
      </c>
      <c r="C86" s="170">
        <f t="shared" si="22"/>
        <v>0</v>
      </c>
      <c r="D86" s="143">
        <f t="shared" ref="D86:P86" si="25">SUM(D87:D88)</f>
        <v>0</v>
      </c>
      <c r="E86" s="143">
        <f t="shared" si="25"/>
        <v>0</v>
      </c>
      <c r="F86" s="143">
        <f t="shared" si="25"/>
        <v>0</v>
      </c>
      <c r="G86" s="143">
        <f t="shared" si="25"/>
        <v>0</v>
      </c>
      <c r="H86" s="143">
        <f t="shared" si="25"/>
        <v>0</v>
      </c>
      <c r="I86" s="143">
        <f t="shared" si="25"/>
        <v>0</v>
      </c>
      <c r="J86" s="143">
        <f t="shared" si="25"/>
        <v>0</v>
      </c>
      <c r="K86" s="143">
        <f t="shared" si="25"/>
        <v>0</v>
      </c>
      <c r="L86" s="143">
        <f t="shared" si="25"/>
        <v>0</v>
      </c>
      <c r="M86" s="143">
        <f t="shared" si="25"/>
        <v>0</v>
      </c>
      <c r="N86" s="143">
        <f t="shared" si="25"/>
        <v>0</v>
      </c>
      <c r="O86" s="143">
        <f t="shared" si="25"/>
        <v>0</v>
      </c>
      <c r="P86" s="143">
        <f t="shared" si="25"/>
        <v>0</v>
      </c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2"/>
      <c r="CB86" s="132"/>
      <c r="CC86" s="132"/>
      <c r="CD86" s="132"/>
      <c r="CE86" s="132"/>
      <c r="CF86" s="132"/>
      <c r="CG86" s="132"/>
      <c r="CH86" s="132"/>
      <c r="CI86" s="132"/>
      <c r="CJ86" s="132"/>
      <c r="CK86" s="132"/>
      <c r="CL86" s="132"/>
      <c r="CM86" s="132"/>
      <c r="CN86" s="132"/>
      <c r="CO86" s="132"/>
      <c r="CP86" s="132"/>
      <c r="CQ86" s="132"/>
      <c r="CR86" s="132"/>
      <c r="CS86" s="132"/>
      <c r="CT86" s="132"/>
      <c r="CU86" s="132"/>
      <c r="CV86" s="132"/>
      <c r="CW86" s="132"/>
      <c r="CX86" s="132"/>
      <c r="CY86" s="132"/>
      <c r="CZ86" s="132"/>
      <c r="DA86" s="132"/>
      <c r="DB86" s="132"/>
      <c r="DC86" s="132"/>
      <c r="DD86" s="132"/>
      <c r="DE86" s="132"/>
      <c r="DF86" s="132"/>
      <c r="DG86" s="132"/>
      <c r="DH86" s="132"/>
      <c r="DI86" s="132"/>
      <c r="DJ86" s="132"/>
      <c r="DK86" s="132"/>
      <c r="DL86" s="132"/>
      <c r="DM86" s="132"/>
      <c r="DN86" s="132"/>
      <c r="DO86" s="132"/>
      <c r="DP86" s="132"/>
      <c r="DQ86" s="132"/>
      <c r="DR86" s="132"/>
      <c r="DS86" s="132"/>
      <c r="DT86" s="132"/>
      <c r="DU86" s="132"/>
      <c r="DV86" s="132"/>
      <c r="DW86" s="132"/>
      <c r="DX86" s="132"/>
      <c r="DY86" s="132"/>
      <c r="DZ86" s="132"/>
      <c r="EA86" s="132"/>
      <c r="EB86" s="132"/>
      <c r="EC86" s="132"/>
      <c r="ED86" s="132"/>
      <c r="EE86" s="132"/>
      <c r="EF86" s="132"/>
      <c r="EG86" s="132"/>
      <c r="EH86" s="132"/>
      <c r="EI86" s="132"/>
      <c r="EJ86" s="132"/>
      <c r="EK86" s="132"/>
      <c r="EL86" s="132"/>
      <c r="EM86" s="132"/>
      <c r="EN86" s="132"/>
      <c r="EO86" s="132"/>
      <c r="EP86" s="132"/>
      <c r="EQ86" s="132"/>
      <c r="ER86" s="132"/>
      <c r="ES86" s="132"/>
      <c r="ET86" s="132"/>
      <c r="EU86" s="132"/>
      <c r="EV86" s="132"/>
      <c r="EW86" s="132"/>
      <c r="EX86" s="132"/>
      <c r="EY86" s="132"/>
      <c r="EZ86" s="132"/>
      <c r="FA86" s="132"/>
      <c r="FB86" s="132"/>
      <c r="FC86" s="132"/>
      <c r="FD86" s="132"/>
      <c r="FE86" s="132"/>
      <c r="FF86" s="132"/>
      <c r="FG86" s="132"/>
      <c r="FH86" s="132"/>
      <c r="FI86" s="132"/>
      <c r="FJ86" s="132"/>
      <c r="FK86" s="132"/>
      <c r="FL86" s="132"/>
      <c r="FM86" s="132"/>
      <c r="FN86" s="132"/>
      <c r="FO86" s="132"/>
      <c r="FP86" s="132"/>
      <c r="FQ86" s="132"/>
      <c r="FR86" s="132"/>
      <c r="FS86" s="132"/>
      <c r="FT86" s="132"/>
      <c r="FU86" s="132"/>
      <c r="FV86" s="132"/>
      <c r="FW86" s="132"/>
      <c r="FX86" s="132"/>
      <c r="FY86" s="132"/>
      <c r="FZ86" s="132"/>
      <c r="GA86" s="132"/>
      <c r="GB86" s="132"/>
      <c r="GC86" s="132"/>
      <c r="GD86" s="132"/>
      <c r="GE86" s="133"/>
      <c r="GF86" s="133"/>
      <c r="GG86" s="133"/>
      <c r="GH86" s="133"/>
      <c r="GI86" s="133"/>
      <c r="GJ86" s="133"/>
      <c r="GK86" s="133"/>
      <c r="GL86" s="133"/>
      <c r="GM86" s="133"/>
      <c r="GN86" s="133"/>
      <c r="GO86" s="133"/>
      <c r="GP86" s="133"/>
      <c r="GQ86" s="133"/>
      <c r="GR86" s="133"/>
      <c r="GS86" s="133"/>
      <c r="GT86" s="133"/>
      <c r="GU86" s="133"/>
      <c r="GV86" s="133"/>
      <c r="GW86" s="133"/>
      <c r="GX86" s="133"/>
      <c r="GY86" s="133"/>
      <c r="GZ86" s="133"/>
      <c r="HA86" s="133"/>
      <c r="HB86" s="133"/>
      <c r="HC86" s="133"/>
      <c r="HD86" s="133"/>
      <c r="HE86" s="133"/>
      <c r="HF86" s="133"/>
      <c r="HG86" s="133"/>
      <c r="HH86" s="133"/>
      <c r="HI86" s="133"/>
      <c r="HJ86" s="133"/>
      <c r="HK86" s="133"/>
      <c r="HL86" s="133"/>
      <c r="HM86" s="133"/>
      <c r="HN86" s="133"/>
      <c r="HO86" s="133"/>
      <c r="HP86" s="133"/>
      <c r="HQ86" s="133"/>
      <c r="HR86" s="133"/>
      <c r="HS86" s="133"/>
      <c r="HT86" s="133"/>
      <c r="HU86" s="133"/>
      <c r="HV86" s="133"/>
      <c r="HW86" s="133"/>
      <c r="HX86" s="133"/>
      <c r="HY86" s="133"/>
      <c r="HZ86" s="133"/>
      <c r="IA86" s="133"/>
      <c r="IB86" s="133"/>
      <c r="IC86" s="133"/>
      <c r="ID86" s="133"/>
      <c r="IE86" s="133"/>
      <c r="IF86" s="133"/>
      <c r="IG86" s="133"/>
      <c r="IH86" s="133"/>
      <c r="II86" s="133"/>
      <c r="IJ86" s="133"/>
      <c r="IK86" s="133"/>
      <c r="IL86" s="133"/>
      <c r="IM86" s="133"/>
      <c r="IN86" s="133"/>
      <c r="IO86" s="133"/>
      <c r="IP86" s="133"/>
      <c r="IQ86" s="133"/>
      <c r="IR86" s="133"/>
      <c r="IS86" s="133"/>
      <c r="IT86" s="133"/>
      <c r="IU86" s="133"/>
      <c r="IV86" s="133"/>
    </row>
    <row r="87" spans="1:256" s="151" customFormat="1" ht="12.6" customHeight="1">
      <c r="A87" s="145">
        <v>51</v>
      </c>
      <c r="B87" s="146" t="s">
        <v>880</v>
      </c>
      <c r="C87" s="147">
        <f t="shared" si="22"/>
        <v>0</v>
      </c>
      <c r="D87" s="154">
        <f>SUMIFS('Plan rashoda za unos u SAP'!$J$3:$J$501,'Plan rashoda za unos u SAP'!$C$3:$C$501,"=11",'Plan rashoda za unos u SAP'!$N$3:$N$501,"=51")</f>
        <v>0</v>
      </c>
      <c r="E87" s="154">
        <f>SUMIFS('Plan rashoda za unos u SAP'!$J$3:$J$501,'Plan rashoda za unos u SAP'!$C$3:$C$501,"=12",'Plan rashoda za unos u SAP'!$N$3:$N$501,"=51")</f>
        <v>0</v>
      </c>
      <c r="F87" s="154">
        <f>SUMIFS('Plan rashoda za unos u SAP'!$J$3:$J$501,'Plan rashoda za unos u SAP'!$C$3:$C$501,"=31",'Plan rashoda za unos u SAP'!$N$3:$N$501,"=51")</f>
        <v>0</v>
      </c>
      <c r="G87" s="154">
        <f>SUMIFS('Plan rashoda za unos u SAP'!$J$3:$J$501,'Plan rashoda za unos u SAP'!$C$3:$C$501,"=43",'Plan rashoda za unos u SAP'!$N$3:$N$501,"=51")</f>
        <v>0</v>
      </c>
      <c r="H87" s="154">
        <f>SUMIFS('Plan rashoda za unos u SAP'!$J$3:$J$501,'Plan rashoda za unos u SAP'!$C$3:$C$501,"=51",'Plan rashoda za unos u SAP'!$N$3:$N$501,"=51")</f>
        <v>0</v>
      </c>
      <c r="I87" s="154">
        <f>SUMIFS('Plan rashoda za unos u SAP'!$J$3:$J$501,'Plan rashoda za unos u SAP'!$C$3:$C$501,"=52",'Plan rashoda za unos u SAP'!$N$3:$N$501,"=51")</f>
        <v>0</v>
      </c>
      <c r="J87" s="154">
        <f>SUMIFS('Plan rashoda za unos u SAP'!$J$3:$J$501,'Plan rashoda za unos u SAP'!$C$3:$C$501,"=559",'Plan rashoda za unos u SAP'!$N$3:$N$501,"=51")</f>
        <v>0</v>
      </c>
      <c r="K87" s="154">
        <f>SUMIFS('Plan rashoda za unos u SAP'!$J$3:$J$501,'Plan rashoda za unos u SAP'!$C$3:$C$501,"=561",'Plan rashoda za unos u SAP'!$N$3:$N$501,"=51")</f>
        <v>0</v>
      </c>
      <c r="L87" s="154">
        <f>SUMIFS('Plan rashoda za unos u SAP'!$J$3:$J$501,'Plan rashoda za unos u SAP'!$C$3:$C$501,"=563",'Plan rashoda za unos u SAP'!$N$3:$N$501,"=51")</f>
        <v>0</v>
      </c>
      <c r="M87" s="154">
        <f>SUMIFS('Plan rashoda za unos u SAP'!$J$3:$J$501,'Plan rashoda za unos u SAP'!$C$3:$C$501,"=61",'Plan rashoda za unos u SAP'!$N$3:$N$501,"=51")</f>
        <v>0</v>
      </c>
      <c r="N87" s="154">
        <f>SUMIFS('Plan rashoda za unos u SAP'!$J$3:$J$501,'Plan rashoda za unos u SAP'!$C$3:$C$501,"=63",'Plan rashoda za unos u SAP'!$N$3:$N$501,"=51")</f>
        <v>0</v>
      </c>
      <c r="O87" s="154">
        <f>SUMIFS('Plan rashoda za unos u SAP'!$J$3:$J$501,'Plan rashoda za unos u SAP'!$C$3:$C$501,"=71",'Plan rashoda za unos u SAP'!$N$3:$N$501,"=51")</f>
        <v>0</v>
      </c>
      <c r="P87" s="154">
        <f>SUMIFS('Plan rashoda za unos u SAP'!$J$3:$J$501,'Plan rashoda za unos u SAP'!$C$3:$C$501,"=81",'Plan rashoda za unos u SAP'!$N$3:$N$501,"=51")</f>
        <v>0</v>
      </c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49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49"/>
      <c r="CN87" s="149"/>
      <c r="CO87" s="149"/>
      <c r="CP87" s="149"/>
      <c r="CQ87" s="149"/>
      <c r="CR87" s="149"/>
      <c r="CS87" s="149"/>
      <c r="CT87" s="149"/>
      <c r="CU87" s="149"/>
      <c r="CV87" s="149"/>
      <c r="CW87" s="149"/>
      <c r="CX87" s="149"/>
      <c r="CY87" s="149"/>
      <c r="CZ87" s="149"/>
      <c r="DA87" s="149"/>
      <c r="DB87" s="149"/>
      <c r="DC87" s="149"/>
      <c r="DD87" s="149"/>
      <c r="DE87" s="149"/>
      <c r="DF87" s="149"/>
      <c r="DG87" s="149"/>
      <c r="DH87" s="149"/>
      <c r="DI87" s="149"/>
      <c r="DJ87" s="149"/>
      <c r="DK87" s="149"/>
      <c r="DL87" s="149"/>
      <c r="DM87" s="149"/>
      <c r="DN87" s="149"/>
      <c r="DO87" s="149"/>
      <c r="DP87" s="149"/>
      <c r="DQ87" s="149"/>
      <c r="DR87" s="149"/>
      <c r="DS87" s="149"/>
      <c r="DT87" s="149"/>
      <c r="DU87" s="149"/>
      <c r="DV87" s="149"/>
      <c r="DW87" s="149"/>
      <c r="DX87" s="149"/>
      <c r="DY87" s="149"/>
      <c r="DZ87" s="149"/>
      <c r="EA87" s="149"/>
      <c r="EB87" s="149"/>
      <c r="EC87" s="149"/>
      <c r="ED87" s="149"/>
      <c r="EE87" s="149"/>
      <c r="EF87" s="149"/>
      <c r="EG87" s="149"/>
      <c r="EH87" s="149"/>
      <c r="EI87" s="149"/>
      <c r="EJ87" s="149"/>
      <c r="EK87" s="149"/>
      <c r="EL87" s="149"/>
      <c r="EM87" s="149"/>
      <c r="EN87" s="149"/>
      <c r="EO87" s="149"/>
      <c r="EP87" s="149"/>
      <c r="EQ87" s="149"/>
      <c r="ER87" s="149"/>
      <c r="ES87" s="149"/>
      <c r="ET87" s="149"/>
      <c r="EU87" s="149"/>
      <c r="EV87" s="149"/>
      <c r="EW87" s="149"/>
      <c r="EX87" s="149"/>
      <c r="EY87" s="149"/>
      <c r="EZ87" s="149"/>
      <c r="FA87" s="149"/>
      <c r="FB87" s="149"/>
      <c r="FC87" s="149"/>
      <c r="FD87" s="149"/>
      <c r="FE87" s="149"/>
      <c r="FF87" s="149"/>
      <c r="FG87" s="149"/>
      <c r="FH87" s="149"/>
      <c r="FI87" s="149"/>
      <c r="FJ87" s="149"/>
      <c r="FK87" s="149"/>
      <c r="FL87" s="149"/>
      <c r="FM87" s="149"/>
      <c r="FN87" s="149"/>
      <c r="FO87" s="149"/>
      <c r="FP87" s="149"/>
      <c r="FQ87" s="149"/>
      <c r="FR87" s="149"/>
      <c r="FS87" s="149"/>
      <c r="FT87" s="149"/>
      <c r="FU87" s="149"/>
      <c r="FV87" s="149"/>
      <c r="FW87" s="149"/>
      <c r="FX87" s="149"/>
      <c r="FY87" s="149"/>
      <c r="FZ87" s="149"/>
      <c r="GA87" s="149"/>
      <c r="GB87" s="149"/>
      <c r="GC87" s="149"/>
      <c r="GD87" s="149"/>
      <c r="GE87" s="150"/>
      <c r="GF87" s="150"/>
      <c r="GG87" s="150"/>
      <c r="GH87" s="150"/>
      <c r="GI87" s="150"/>
      <c r="GJ87" s="150"/>
      <c r="GK87" s="150"/>
      <c r="GL87" s="150"/>
      <c r="GM87" s="150"/>
      <c r="GN87" s="150"/>
      <c r="GO87" s="150"/>
      <c r="GP87" s="150"/>
      <c r="GQ87" s="150"/>
      <c r="GR87" s="150"/>
      <c r="GS87" s="150"/>
      <c r="GT87" s="150"/>
      <c r="GU87" s="150"/>
      <c r="GV87" s="150"/>
      <c r="GW87" s="150"/>
      <c r="GX87" s="150"/>
      <c r="GY87" s="150"/>
      <c r="GZ87" s="150"/>
      <c r="HA87" s="150"/>
      <c r="HB87" s="150"/>
      <c r="HC87" s="150"/>
      <c r="HD87" s="150"/>
      <c r="HE87" s="150"/>
      <c r="HF87" s="150"/>
      <c r="HG87" s="150"/>
      <c r="HH87" s="150"/>
      <c r="HI87" s="150"/>
      <c r="HJ87" s="150"/>
      <c r="HK87" s="150"/>
      <c r="HL87" s="150"/>
      <c r="HM87" s="150"/>
      <c r="HN87" s="150"/>
      <c r="HO87" s="150"/>
      <c r="HP87" s="150"/>
      <c r="HQ87" s="150"/>
      <c r="HR87" s="150"/>
      <c r="HS87" s="150"/>
      <c r="HT87" s="150"/>
      <c r="HU87" s="150"/>
      <c r="HV87" s="150"/>
      <c r="HW87" s="150"/>
      <c r="HX87" s="150"/>
      <c r="HY87" s="150"/>
      <c r="HZ87" s="150"/>
      <c r="IA87" s="150"/>
      <c r="IB87" s="150"/>
      <c r="IC87" s="150"/>
      <c r="ID87" s="150"/>
      <c r="IE87" s="150"/>
      <c r="IF87" s="150"/>
      <c r="IG87" s="150"/>
      <c r="IH87" s="150"/>
      <c r="II87" s="150"/>
      <c r="IJ87" s="150"/>
      <c r="IK87" s="150"/>
      <c r="IL87" s="150"/>
      <c r="IM87" s="150"/>
      <c r="IN87" s="150"/>
      <c r="IO87" s="150"/>
      <c r="IP87" s="150"/>
      <c r="IQ87" s="150"/>
      <c r="IR87" s="150"/>
      <c r="IS87" s="150"/>
      <c r="IT87" s="150"/>
      <c r="IU87" s="150"/>
      <c r="IV87" s="150"/>
    </row>
    <row r="88" spans="1:256" s="151" customFormat="1" ht="12.6" customHeight="1">
      <c r="A88" s="145">
        <v>54</v>
      </c>
      <c r="B88" s="146" t="s">
        <v>884</v>
      </c>
      <c r="C88" s="147">
        <f t="shared" si="22"/>
        <v>0</v>
      </c>
      <c r="D88" s="154">
        <f>SUMIFS('Plan rashoda za unos u SAP'!$J$3:$J$501,'Plan rashoda za unos u SAP'!$C$3:$C$501,"=11",'Plan rashoda za unos u SAP'!$N$3:$N$501,"=54")</f>
        <v>0</v>
      </c>
      <c r="E88" s="154">
        <f>SUMIFS('Plan rashoda za unos u SAP'!$J$3:$J$501,'Plan rashoda za unos u SAP'!$C$3:$C$501,"=12",'Plan rashoda za unos u SAP'!$N$3:$N$501,"=54")</f>
        <v>0</v>
      </c>
      <c r="F88" s="154">
        <f>SUMIFS('Plan rashoda za unos u SAP'!$J$3:$J$501,'Plan rashoda za unos u SAP'!$C$3:$C$501,"=31",'Plan rashoda za unos u SAP'!$N$3:$N$501,"=54")</f>
        <v>0</v>
      </c>
      <c r="G88" s="154">
        <f>SUMIFS('Plan rashoda za unos u SAP'!$J$3:$J$501,'Plan rashoda za unos u SAP'!$C$3:$C$501,"=43",'Plan rashoda za unos u SAP'!$N$3:$N$501,"=54")</f>
        <v>0</v>
      </c>
      <c r="H88" s="154">
        <f>SUMIFS('Plan rashoda za unos u SAP'!$J$3:$J$501,'Plan rashoda za unos u SAP'!$C$3:$C$501,"=51",'Plan rashoda za unos u SAP'!$N$3:$N$501,"=54")</f>
        <v>0</v>
      </c>
      <c r="I88" s="154">
        <f>SUMIFS('Plan rashoda za unos u SAP'!$J$3:$J$501,'Plan rashoda za unos u SAP'!$C$3:$C$501,"=52",'Plan rashoda za unos u SAP'!$N$3:$N$501,"=54")</f>
        <v>0</v>
      </c>
      <c r="J88" s="154">
        <f>SUMIFS('Plan rashoda za unos u SAP'!$J$3:$J$501,'Plan rashoda za unos u SAP'!$C$3:$C$501,"=559",'Plan rashoda za unos u SAP'!$N$3:$N$501,"=54")</f>
        <v>0</v>
      </c>
      <c r="K88" s="154">
        <f>SUMIFS('Plan rashoda za unos u SAP'!$J$3:$J$501,'Plan rashoda za unos u SAP'!$C$3:$C$501,"=561",'Plan rashoda za unos u SAP'!$N$3:$N$501,"=54")</f>
        <v>0</v>
      </c>
      <c r="L88" s="154">
        <f>SUMIFS('Plan rashoda za unos u SAP'!$J$3:$J$501,'Plan rashoda za unos u SAP'!$C$3:$C$501,"=563",'Plan rashoda za unos u SAP'!$N$3:$N$501,"=54")</f>
        <v>0</v>
      </c>
      <c r="M88" s="154">
        <f>SUMIFS('Plan rashoda za unos u SAP'!$J$3:$J$501,'Plan rashoda za unos u SAP'!$C$3:$C$501,"=61",'Plan rashoda za unos u SAP'!$N$3:$N$501,"=54")</f>
        <v>0</v>
      </c>
      <c r="N88" s="154">
        <f>SUMIFS('Plan rashoda za unos u SAP'!$J$3:$J$501,'Plan rashoda za unos u SAP'!$C$3:$C$501,"=63",'Plan rashoda za unos u SAP'!$N$3:$N$501,"=54")</f>
        <v>0</v>
      </c>
      <c r="O88" s="154">
        <f>SUMIFS('Plan rashoda za unos u SAP'!$J$3:$J$501,'Plan rashoda za unos u SAP'!$C$3:$C$501,"=71",'Plan rashoda za unos u SAP'!$N$3:$N$501,"=54")</f>
        <v>0</v>
      </c>
      <c r="P88" s="154">
        <f>SUMIFS('Plan rashoda za unos u SAP'!$J$3:$J$501,'Plan rashoda za unos u SAP'!$C$3:$C$501,"=81",'Plan rashoda za unos u SAP'!$N$3:$N$501,"=54")</f>
        <v>0</v>
      </c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  <c r="CC88" s="149"/>
      <c r="CD88" s="149"/>
      <c r="CE88" s="149"/>
      <c r="CF88" s="149"/>
      <c r="CG88" s="149"/>
      <c r="CH88" s="149"/>
      <c r="CI88" s="149"/>
      <c r="CJ88" s="149"/>
      <c r="CK88" s="149"/>
      <c r="CL88" s="149"/>
      <c r="CM88" s="149"/>
      <c r="CN88" s="149"/>
      <c r="CO88" s="149"/>
      <c r="CP88" s="149"/>
      <c r="CQ88" s="149"/>
      <c r="CR88" s="149"/>
      <c r="CS88" s="149"/>
      <c r="CT88" s="149"/>
      <c r="CU88" s="149"/>
      <c r="CV88" s="149"/>
      <c r="CW88" s="149"/>
      <c r="CX88" s="149"/>
      <c r="CY88" s="149"/>
      <c r="CZ88" s="149"/>
      <c r="DA88" s="149"/>
      <c r="DB88" s="149"/>
      <c r="DC88" s="149"/>
      <c r="DD88" s="149"/>
      <c r="DE88" s="149"/>
      <c r="DF88" s="149"/>
      <c r="DG88" s="149"/>
      <c r="DH88" s="149"/>
      <c r="DI88" s="149"/>
      <c r="DJ88" s="149"/>
      <c r="DK88" s="149"/>
      <c r="DL88" s="149"/>
      <c r="DM88" s="149"/>
      <c r="DN88" s="149"/>
      <c r="DO88" s="149"/>
      <c r="DP88" s="149"/>
      <c r="DQ88" s="149"/>
      <c r="DR88" s="149"/>
      <c r="DS88" s="149"/>
      <c r="DT88" s="149"/>
      <c r="DU88" s="149"/>
      <c r="DV88" s="149"/>
      <c r="DW88" s="149"/>
      <c r="DX88" s="149"/>
      <c r="DY88" s="149"/>
      <c r="DZ88" s="149"/>
      <c r="EA88" s="149"/>
      <c r="EB88" s="149"/>
      <c r="EC88" s="149"/>
      <c r="ED88" s="149"/>
      <c r="EE88" s="149"/>
      <c r="EF88" s="149"/>
      <c r="EG88" s="149"/>
      <c r="EH88" s="149"/>
      <c r="EI88" s="149"/>
      <c r="EJ88" s="149"/>
      <c r="EK88" s="149"/>
      <c r="EL88" s="149"/>
      <c r="EM88" s="149"/>
      <c r="EN88" s="149"/>
      <c r="EO88" s="149"/>
      <c r="EP88" s="149"/>
      <c r="EQ88" s="149"/>
      <c r="ER88" s="149"/>
      <c r="ES88" s="149"/>
      <c r="ET88" s="149"/>
      <c r="EU88" s="149"/>
      <c r="EV88" s="149"/>
      <c r="EW88" s="149"/>
      <c r="EX88" s="149"/>
      <c r="EY88" s="149"/>
      <c r="EZ88" s="149"/>
      <c r="FA88" s="149"/>
      <c r="FB88" s="149"/>
      <c r="FC88" s="149"/>
      <c r="FD88" s="149"/>
      <c r="FE88" s="149"/>
      <c r="FF88" s="149"/>
      <c r="FG88" s="149"/>
      <c r="FH88" s="149"/>
      <c r="FI88" s="149"/>
      <c r="FJ88" s="149"/>
      <c r="FK88" s="149"/>
      <c r="FL88" s="149"/>
      <c r="FM88" s="149"/>
      <c r="FN88" s="149"/>
      <c r="FO88" s="149"/>
      <c r="FP88" s="149"/>
      <c r="FQ88" s="149"/>
      <c r="FR88" s="149"/>
      <c r="FS88" s="149"/>
      <c r="FT88" s="149"/>
      <c r="FU88" s="149"/>
      <c r="FV88" s="149"/>
      <c r="FW88" s="149"/>
      <c r="FX88" s="149"/>
      <c r="FY88" s="149"/>
      <c r="FZ88" s="149"/>
      <c r="GA88" s="149"/>
      <c r="GB88" s="149"/>
      <c r="GC88" s="149"/>
      <c r="GD88" s="149"/>
      <c r="GE88" s="150"/>
      <c r="GF88" s="150"/>
      <c r="GG88" s="150"/>
      <c r="GH88" s="150"/>
      <c r="GI88" s="150"/>
      <c r="GJ88" s="150"/>
      <c r="GK88" s="150"/>
      <c r="GL88" s="150"/>
      <c r="GM88" s="150"/>
      <c r="GN88" s="150"/>
      <c r="GO88" s="150"/>
      <c r="GP88" s="150"/>
      <c r="GQ88" s="150"/>
      <c r="GR88" s="150"/>
      <c r="GS88" s="150"/>
      <c r="GT88" s="150"/>
      <c r="GU88" s="150"/>
      <c r="GV88" s="150"/>
      <c r="GW88" s="150"/>
      <c r="GX88" s="150"/>
      <c r="GY88" s="150"/>
      <c r="GZ88" s="150"/>
      <c r="HA88" s="150"/>
      <c r="HB88" s="150"/>
      <c r="HC88" s="150"/>
      <c r="HD88" s="150"/>
      <c r="HE88" s="150"/>
      <c r="HF88" s="150"/>
      <c r="HG88" s="150"/>
      <c r="HH88" s="150"/>
      <c r="HI88" s="150"/>
      <c r="HJ88" s="150"/>
      <c r="HK88" s="150"/>
      <c r="HL88" s="150"/>
      <c r="HM88" s="150"/>
      <c r="HN88" s="150"/>
      <c r="HO88" s="150"/>
      <c r="HP88" s="150"/>
      <c r="HQ88" s="150"/>
      <c r="HR88" s="150"/>
      <c r="HS88" s="150"/>
      <c r="HT88" s="150"/>
      <c r="HU88" s="150"/>
      <c r="HV88" s="150"/>
      <c r="HW88" s="150"/>
      <c r="HX88" s="150"/>
      <c r="HY88" s="150"/>
      <c r="HZ88" s="150"/>
      <c r="IA88" s="150"/>
      <c r="IB88" s="150"/>
      <c r="IC88" s="150"/>
      <c r="ID88" s="150"/>
      <c r="IE88" s="150"/>
      <c r="IF88" s="150"/>
      <c r="IG88" s="150"/>
      <c r="IH88" s="150"/>
      <c r="II88" s="150"/>
      <c r="IJ88" s="150"/>
      <c r="IK88" s="150"/>
      <c r="IL88" s="150"/>
      <c r="IM88" s="150"/>
      <c r="IN88" s="150"/>
      <c r="IO88" s="150"/>
      <c r="IP88" s="150"/>
      <c r="IQ88" s="150"/>
      <c r="IR88" s="150"/>
      <c r="IS88" s="150"/>
      <c r="IT88" s="150"/>
      <c r="IU88" s="150"/>
      <c r="IV88" s="150"/>
    </row>
    <row r="89" spans="1:256" s="132" customFormat="1" ht="13.8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GE89" s="133"/>
      <c r="GF89" s="133"/>
      <c r="GG89" s="133"/>
      <c r="GH89" s="133"/>
      <c r="GI89" s="133"/>
      <c r="GJ89" s="133"/>
      <c r="GK89" s="133"/>
      <c r="GL89" s="133"/>
      <c r="GM89" s="133"/>
      <c r="GN89" s="133"/>
      <c r="GO89" s="133"/>
      <c r="GP89" s="133"/>
      <c r="GQ89" s="133"/>
      <c r="GR89" s="133"/>
      <c r="GS89" s="133"/>
      <c r="GT89" s="133"/>
      <c r="GU89" s="133"/>
      <c r="GV89" s="133"/>
      <c r="GW89" s="133"/>
      <c r="GX89" s="133"/>
      <c r="GY89" s="133"/>
      <c r="GZ89" s="133"/>
      <c r="HA89" s="133"/>
      <c r="HB89" s="133"/>
      <c r="HC89" s="133"/>
      <c r="HD89" s="133"/>
      <c r="HE89" s="133"/>
      <c r="HF89" s="133"/>
      <c r="HG89" s="133"/>
      <c r="HH89" s="133"/>
      <c r="HI89" s="133"/>
      <c r="HJ89" s="133"/>
      <c r="HK89" s="133"/>
      <c r="HL89" s="133"/>
      <c r="HM89" s="133"/>
      <c r="HN89" s="133"/>
      <c r="HO89" s="133"/>
      <c r="HP89" s="133"/>
      <c r="HQ89" s="133"/>
      <c r="HR89" s="133"/>
      <c r="HS89" s="133"/>
      <c r="HT89" s="133"/>
      <c r="HU89" s="133"/>
      <c r="HV89" s="133"/>
      <c r="HW89" s="133"/>
      <c r="HX89" s="133"/>
      <c r="HY89" s="133"/>
      <c r="HZ89" s="133"/>
      <c r="IA89" s="133"/>
      <c r="IB89" s="133"/>
      <c r="IC89" s="133"/>
      <c r="ID89" s="133"/>
      <c r="IE89" s="133"/>
      <c r="IF89" s="133"/>
      <c r="IG89" s="133"/>
      <c r="IH89" s="133"/>
      <c r="II89" s="133"/>
      <c r="IJ89" s="133"/>
      <c r="IK89" s="133"/>
      <c r="IL89" s="133"/>
      <c r="IM89" s="133"/>
      <c r="IN89" s="133"/>
      <c r="IO89" s="133"/>
      <c r="IP89" s="133"/>
      <c r="IQ89" s="133"/>
      <c r="IR89" s="133"/>
      <c r="IS89" s="133"/>
      <c r="IT89" s="133"/>
      <c r="IU89" s="133"/>
      <c r="IV89" s="133"/>
    </row>
    <row r="90" spans="1:256" s="134" customFormat="1" ht="71.400000000000006" customHeight="1">
      <c r="A90" s="87" t="s">
        <v>831</v>
      </c>
      <c r="B90" s="87" t="s">
        <v>832</v>
      </c>
      <c r="C90" s="87" t="s">
        <v>891</v>
      </c>
      <c r="D90" s="87" t="s">
        <v>834</v>
      </c>
      <c r="E90" s="87" t="s">
        <v>765</v>
      </c>
      <c r="F90" s="87" t="s">
        <v>766</v>
      </c>
      <c r="G90" s="87" t="s">
        <v>767</v>
      </c>
      <c r="H90" s="87" t="s">
        <v>768</v>
      </c>
      <c r="I90" s="87" t="s">
        <v>769</v>
      </c>
      <c r="J90" s="87" t="s">
        <v>770</v>
      </c>
      <c r="K90" s="87" t="s">
        <v>771</v>
      </c>
      <c r="L90" s="87" t="s">
        <v>772</v>
      </c>
      <c r="M90" s="87" t="s">
        <v>773</v>
      </c>
      <c r="N90" s="87" t="s">
        <v>774</v>
      </c>
      <c r="O90" s="87" t="s">
        <v>890</v>
      </c>
      <c r="P90" s="87" t="s">
        <v>892</v>
      </c>
      <c r="GE90" s="133"/>
      <c r="GF90" s="133"/>
      <c r="GG90" s="133"/>
      <c r="GH90" s="133"/>
      <c r="GI90" s="133"/>
      <c r="GJ90" s="133"/>
      <c r="GK90" s="133"/>
      <c r="GL90" s="133"/>
      <c r="GM90" s="133"/>
      <c r="GN90" s="133"/>
      <c r="GO90" s="133"/>
      <c r="GP90" s="133"/>
      <c r="GQ90" s="133"/>
      <c r="GR90" s="133"/>
      <c r="GS90" s="133"/>
      <c r="GT90" s="133"/>
      <c r="GU90" s="133"/>
      <c r="GV90" s="133"/>
      <c r="GW90" s="133"/>
      <c r="GX90" s="133"/>
      <c r="GY90" s="133"/>
      <c r="GZ90" s="133"/>
      <c r="HA90" s="133"/>
      <c r="HB90" s="133"/>
      <c r="HC90" s="133"/>
      <c r="HD90" s="133"/>
      <c r="HE90" s="133"/>
      <c r="HF90" s="133"/>
      <c r="HG90" s="133"/>
      <c r="HH90" s="133"/>
      <c r="HI90" s="133"/>
      <c r="HJ90" s="133"/>
      <c r="HK90" s="133"/>
      <c r="HL90" s="133"/>
      <c r="HM90" s="133"/>
      <c r="HN90" s="133"/>
      <c r="HO90" s="133"/>
      <c r="HP90" s="133"/>
      <c r="HQ90" s="133"/>
      <c r="HR90" s="133"/>
      <c r="HS90" s="133"/>
      <c r="HT90" s="133"/>
      <c r="HU90" s="133"/>
      <c r="HV90" s="133"/>
      <c r="HW90" s="133"/>
      <c r="HX90" s="133"/>
      <c r="HY90" s="133"/>
      <c r="HZ90" s="133"/>
      <c r="IA90" s="133"/>
      <c r="IB90" s="133"/>
      <c r="IC90" s="133"/>
      <c r="ID90" s="133"/>
      <c r="IE90" s="133"/>
      <c r="IF90" s="133"/>
      <c r="IG90" s="133"/>
      <c r="IH90" s="133"/>
      <c r="II90" s="133"/>
      <c r="IJ90" s="133"/>
      <c r="IK90" s="133"/>
      <c r="IL90" s="133"/>
      <c r="IM90" s="133"/>
      <c r="IN90" s="133"/>
      <c r="IO90" s="133"/>
      <c r="IP90" s="133"/>
      <c r="IQ90" s="133"/>
      <c r="IR90" s="133"/>
      <c r="IS90" s="133"/>
      <c r="IT90" s="133"/>
      <c r="IU90" s="133"/>
      <c r="IV90" s="133"/>
    </row>
    <row r="91" spans="1:256" s="139" customFormat="1" ht="19.5" customHeight="1">
      <c r="A91" s="135"/>
      <c r="B91" s="135" t="s">
        <v>893</v>
      </c>
      <c r="C91" s="136">
        <f>SUM(D91:P91)</f>
        <v>5625194</v>
      </c>
      <c r="D91" s="137">
        <f t="shared" ref="D91:P91" si="26">D92+D100+D106</f>
        <v>5543194</v>
      </c>
      <c r="E91" s="137">
        <f t="shared" si="26"/>
        <v>0</v>
      </c>
      <c r="F91" s="137">
        <f t="shared" si="26"/>
        <v>13000</v>
      </c>
      <c r="G91" s="137">
        <f t="shared" si="26"/>
        <v>0</v>
      </c>
      <c r="H91" s="137">
        <f t="shared" si="26"/>
        <v>0</v>
      </c>
      <c r="I91" s="137">
        <f t="shared" si="26"/>
        <v>50000</v>
      </c>
      <c r="J91" s="137">
        <f t="shared" si="26"/>
        <v>0</v>
      </c>
      <c r="K91" s="137">
        <f t="shared" si="26"/>
        <v>0</v>
      </c>
      <c r="L91" s="137">
        <f t="shared" si="26"/>
        <v>0</v>
      </c>
      <c r="M91" s="137">
        <f t="shared" si="26"/>
        <v>19000</v>
      </c>
      <c r="N91" s="137">
        <f t="shared" si="26"/>
        <v>0</v>
      </c>
      <c r="O91" s="137">
        <f t="shared" si="26"/>
        <v>0</v>
      </c>
      <c r="P91" s="137">
        <f t="shared" si="26"/>
        <v>0</v>
      </c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138"/>
      <c r="AH91" s="138"/>
      <c r="AI91" s="138"/>
      <c r="AJ91" s="138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  <c r="DT91" s="79"/>
      <c r="DU91" s="79"/>
      <c r="DV91" s="79"/>
      <c r="DW91" s="79"/>
      <c r="DX91" s="79"/>
      <c r="DY91" s="79"/>
      <c r="DZ91" s="79"/>
      <c r="EA91" s="79"/>
      <c r="EB91" s="79"/>
      <c r="EC91" s="79"/>
      <c r="ED91" s="79"/>
      <c r="EE91" s="79"/>
      <c r="EF91" s="79"/>
      <c r="EG91" s="79"/>
      <c r="EH91" s="79"/>
      <c r="EI91" s="79"/>
      <c r="EJ91" s="79"/>
      <c r="EK91" s="79"/>
      <c r="EL91" s="79"/>
      <c r="EM91" s="79"/>
      <c r="EN91" s="79"/>
      <c r="EO91" s="79"/>
      <c r="EP91" s="79"/>
      <c r="EQ91" s="79"/>
      <c r="ER91" s="79"/>
      <c r="ES91" s="79"/>
      <c r="ET91" s="79"/>
      <c r="EU91" s="79"/>
      <c r="EV91" s="79"/>
      <c r="EW91" s="79"/>
      <c r="EX91" s="79"/>
      <c r="EY91" s="79"/>
      <c r="EZ91" s="79"/>
      <c r="FA91" s="79"/>
      <c r="FB91" s="79"/>
      <c r="FC91" s="79"/>
      <c r="FD91" s="79"/>
      <c r="FE91" s="79"/>
      <c r="FF91" s="79"/>
      <c r="FG91" s="79"/>
      <c r="FH91" s="79"/>
      <c r="FI91" s="79"/>
      <c r="FJ91" s="79"/>
      <c r="FK91" s="79"/>
      <c r="FL91" s="79"/>
      <c r="FM91" s="79"/>
      <c r="FN91" s="79"/>
      <c r="FO91" s="79"/>
      <c r="FP91" s="79"/>
      <c r="FQ91" s="79"/>
      <c r="FR91" s="79"/>
      <c r="FS91" s="79"/>
      <c r="FT91" s="79"/>
      <c r="FU91" s="79"/>
      <c r="FV91" s="79"/>
      <c r="FW91" s="79"/>
      <c r="FX91" s="79"/>
      <c r="FY91" s="79"/>
      <c r="FZ91" s="79"/>
      <c r="GA91" s="79"/>
      <c r="GB91" s="79"/>
      <c r="GC91" s="79"/>
      <c r="GD91" s="79"/>
      <c r="GE91" s="138"/>
      <c r="GF91" s="138"/>
      <c r="GG91" s="138"/>
      <c r="GH91" s="138"/>
      <c r="GI91" s="138"/>
      <c r="GJ91" s="138"/>
      <c r="GK91" s="138"/>
      <c r="GL91" s="138"/>
      <c r="GM91" s="138"/>
      <c r="GN91" s="138"/>
      <c r="GO91" s="138"/>
      <c r="GP91" s="138"/>
      <c r="GQ91" s="138"/>
      <c r="GR91" s="138"/>
      <c r="GS91" s="138"/>
      <c r="GT91" s="138"/>
      <c r="GU91" s="138"/>
      <c r="GV91" s="138"/>
      <c r="GW91" s="138"/>
      <c r="GX91" s="138"/>
      <c r="GY91" s="138"/>
      <c r="GZ91" s="138"/>
      <c r="HA91" s="138"/>
      <c r="HB91" s="138"/>
      <c r="HC91" s="138"/>
      <c r="HD91" s="138"/>
      <c r="HE91" s="138"/>
      <c r="HF91" s="138"/>
      <c r="HG91" s="138"/>
      <c r="HH91" s="138"/>
      <c r="HI91" s="138"/>
      <c r="HJ91" s="138"/>
      <c r="HK91" s="138"/>
      <c r="HL91" s="138"/>
      <c r="HM91" s="138"/>
      <c r="HN91" s="138"/>
      <c r="HO91" s="138"/>
      <c r="HP91" s="138"/>
      <c r="HQ91" s="138"/>
      <c r="HR91" s="138"/>
      <c r="HS91" s="138"/>
      <c r="HT91" s="138"/>
      <c r="HU91" s="138"/>
      <c r="HV91" s="138"/>
      <c r="HW91" s="138"/>
      <c r="HX91" s="138"/>
      <c r="HY91" s="138"/>
      <c r="HZ91" s="138"/>
      <c r="IA91" s="138"/>
      <c r="IB91" s="138"/>
      <c r="IC91" s="138"/>
      <c r="ID91" s="138"/>
      <c r="IE91" s="138"/>
      <c r="IF91" s="138"/>
      <c r="IG91" s="138"/>
      <c r="IH91" s="138"/>
      <c r="II91" s="138"/>
      <c r="IJ91" s="138"/>
      <c r="IK91" s="138"/>
      <c r="IL91" s="138"/>
      <c r="IM91" s="138"/>
      <c r="IN91" s="138"/>
      <c r="IO91" s="138"/>
      <c r="IP91" s="138"/>
      <c r="IQ91" s="138"/>
      <c r="IR91" s="138"/>
      <c r="IS91" s="138"/>
      <c r="IT91" s="138"/>
      <c r="IU91" s="138"/>
      <c r="IV91" s="138"/>
    </row>
    <row r="92" spans="1:256" s="144" customFormat="1" ht="12.6" customHeight="1">
      <c r="A92" s="140">
        <v>3</v>
      </c>
      <c r="B92" s="141" t="s">
        <v>837</v>
      </c>
      <c r="C92" s="142">
        <f t="shared" ref="C92:C108" si="27">ROUND(SUM(D92:P92),0)</f>
        <v>5625194</v>
      </c>
      <c r="D92" s="172">
        <f t="shared" ref="D92:P92" si="28">SUM(D93:D99)</f>
        <v>5543194</v>
      </c>
      <c r="E92" s="172">
        <f t="shared" si="28"/>
        <v>0</v>
      </c>
      <c r="F92" s="172">
        <f t="shared" si="28"/>
        <v>13000</v>
      </c>
      <c r="G92" s="172">
        <f t="shared" si="28"/>
        <v>0</v>
      </c>
      <c r="H92" s="172">
        <f t="shared" si="28"/>
        <v>0</v>
      </c>
      <c r="I92" s="172">
        <f t="shared" si="28"/>
        <v>50000</v>
      </c>
      <c r="J92" s="172">
        <f t="shared" si="28"/>
        <v>0</v>
      </c>
      <c r="K92" s="172">
        <f t="shared" si="28"/>
        <v>0</v>
      </c>
      <c r="L92" s="172">
        <f t="shared" si="28"/>
        <v>0</v>
      </c>
      <c r="M92" s="172">
        <f t="shared" si="28"/>
        <v>19000</v>
      </c>
      <c r="N92" s="172">
        <f t="shared" si="28"/>
        <v>0</v>
      </c>
      <c r="O92" s="172">
        <f t="shared" si="28"/>
        <v>0</v>
      </c>
      <c r="P92" s="172">
        <f t="shared" si="28"/>
        <v>0</v>
      </c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2"/>
      <c r="BR92" s="132"/>
      <c r="BS92" s="132"/>
      <c r="BT92" s="132"/>
      <c r="BU92" s="132"/>
      <c r="BV92" s="132"/>
      <c r="BW92" s="132"/>
      <c r="BX92" s="132"/>
      <c r="BY92" s="132"/>
      <c r="BZ92" s="132"/>
      <c r="CA92" s="132"/>
      <c r="CB92" s="132"/>
      <c r="CC92" s="132"/>
      <c r="CD92" s="132"/>
      <c r="CE92" s="132"/>
      <c r="CF92" s="132"/>
      <c r="CG92" s="132"/>
      <c r="CH92" s="132"/>
      <c r="CI92" s="132"/>
      <c r="CJ92" s="132"/>
      <c r="CK92" s="132"/>
      <c r="CL92" s="132"/>
      <c r="CM92" s="132"/>
      <c r="CN92" s="132"/>
      <c r="CO92" s="132"/>
      <c r="CP92" s="132"/>
      <c r="CQ92" s="132"/>
      <c r="CR92" s="132"/>
      <c r="CS92" s="132"/>
      <c r="CT92" s="132"/>
      <c r="CU92" s="132"/>
      <c r="CV92" s="132"/>
      <c r="CW92" s="132"/>
      <c r="CX92" s="132"/>
      <c r="CY92" s="132"/>
      <c r="CZ92" s="132"/>
      <c r="DA92" s="132"/>
      <c r="DB92" s="132"/>
      <c r="DC92" s="132"/>
      <c r="DD92" s="132"/>
      <c r="DE92" s="132"/>
      <c r="DF92" s="132"/>
      <c r="DG92" s="132"/>
      <c r="DH92" s="132"/>
      <c r="DI92" s="132"/>
      <c r="DJ92" s="132"/>
      <c r="DK92" s="132"/>
      <c r="DL92" s="132"/>
      <c r="DM92" s="132"/>
      <c r="DN92" s="132"/>
      <c r="DO92" s="132"/>
      <c r="DP92" s="132"/>
      <c r="DQ92" s="132"/>
      <c r="DR92" s="132"/>
      <c r="DS92" s="132"/>
      <c r="DT92" s="132"/>
      <c r="DU92" s="132"/>
      <c r="DV92" s="132"/>
      <c r="DW92" s="132"/>
      <c r="DX92" s="132"/>
      <c r="DY92" s="132"/>
      <c r="DZ92" s="132"/>
      <c r="EA92" s="132"/>
      <c r="EB92" s="132"/>
      <c r="EC92" s="132"/>
      <c r="ED92" s="132"/>
      <c r="EE92" s="132"/>
      <c r="EF92" s="132"/>
      <c r="EG92" s="132"/>
      <c r="EH92" s="132"/>
      <c r="EI92" s="132"/>
      <c r="EJ92" s="132"/>
      <c r="EK92" s="132"/>
      <c r="EL92" s="132"/>
      <c r="EM92" s="132"/>
      <c r="EN92" s="132"/>
      <c r="EO92" s="132"/>
      <c r="EP92" s="132"/>
      <c r="EQ92" s="132"/>
      <c r="ER92" s="132"/>
      <c r="ES92" s="132"/>
      <c r="ET92" s="132"/>
      <c r="EU92" s="132"/>
      <c r="EV92" s="132"/>
      <c r="EW92" s="132"/>
      <c r="EX92" s="132"/>
      <c r="EY92" s="132"/>
      <c r="EZ92" s="132"/>
      <c r="FA92" s="132"/>
      <c r="FB92" s="132"/>
      <c r="FC92" s="132"/>
      <c r="FD92" s="132"/>
      <c r="FE92" s="132"/>
      <c r="FF92" s="132"/>
      <c r="FG92" s="132"/>
      <c r="FH92" s="132"/>
      <c r="FI92" s="132"/>
      <c r="FJ92" s="132"/>
      <c r="FK92" s="132"/>
      <c r="FL92" s="132"/>
      <c r="FM92" s="132"/>
      <c r="FN92" s="132"/>
      <c r="FO92" s="132"/>
      <c r="FP92" s="132"/>
      <c r="FQ92" s="132"/>
      <c r="FR92" s="132"/>
      <c r="FS92" s="132"/>
      <c r="FT92" s="132"/>
      <c r="FU92" s="132"/>
      <c r="FV92" s="132"/>
      <c r="FW92" s="132"/>
      <c r="FX92" s="132"/>
      <c r="FY92" s="132"/>
      <c r="FZ92" s="132"/>
      <c r="GA92" s="132"/>
      <c r="GB92" s="132"/>
      <c r="GC92" s="132"/>
      <c r="GD92" s="132"/>
      <c r="GE92" s="133"/>
      <c r="GF92" s="133"/>
      <c r="GG92" s="133"/>
      <c r="GH92" s="133"/>
      <c r="GI92" s="133"/>
      <c r="GJ92" s="133"/>
      <c r="GK92" s="133"/>
      <c r="GL92" s="133"/>
      <c r="GM92" s="133"/>
      <c r="GN92" s="133"/>
      <c r="GO92" s="133"/>
      <c r="GP92" s="133"/>
      <c r="GQ92" s="133"/>
      <c r="GR92" s="133"/>
      <c r="GS92" s="133"/>
      <c r="GT92" s="133"/>
      <c r="GU92" s="133"/>
      <c r="GV92" s="133"/>
      <c r="GW92" s="133"/>
      <c r="GX92" s="133"/>
      <c r="GY92" s="133"/>
      <c r="GZ92" s="133"/>
      <c r="HA92" s="133"/>
      <c r="HB92" s="133"/>
      <c r="HC92" s="133"/>
      <c r="HD92" s="133"/>
      <c r="HE92" s="133"/>
      <c r="HF92" s="133"/>
      <c r="HG92" s="133"/>
      <c r="HH92" s="133"/>
      <c r="HI92" s="133"/>
      <c r="HJ92" s="133"/>
      <c r="HK92" s="133"/>
      <c r="HL92" s="133"/>
      <c r="HM92" s="133"/>
      <c r="HN92" s="133"/>
      <c r="HO92" s="133"/>
      <c r="HP92" s="133"/>
      <c r="HQ92" s="133"/>
      <c r="HR92" s="133"/>
      <c r="HS92" s="133"/>
      <c r="HT92" s="133"/>
      <c r="HU92" s="133"/>
      <c r="HV92" s="133"/>
      <c r="HW92" s="133"/>
      <c r="HX92" s="133"/>
      <c r="HY92" s="133"/>
      <c r="HZ92" s="133"/>
      <c r="IA92" s="133"/>
      <c r="IB92" s="133"/>
      <c r="IC92" s="133"/>
      <c r="ID92" s="133"/>
      <c r="IE92" s="133"/>
      <c r="IF92" s="133"/>
      <c r="IG92" s="133"/>
      <c r="IH92" s="133"/>
      <c r="II92" s="133"/>
      <c r="IJ92" s="133"/>
      <c r="IK92" s="133"/>
      <c r="IL92" s="133"/>
      <c r="IM92" s="133"/>
      <c r="IN92" s="133"/>
      <c r="IO92" s="133"/>
      <c r="IP92" s="133"/>
      <c r="IQ92" s="133"/>
      <c r="IR92" s="133"/>
      <c r="IS92" s="133"/>
      <c r="IT92" s="133"/>
      <c r="IU92" s="133"/>
      <c r="IV92" s="133"/>
    </row>
    <row r="93" spans="1:256" s="151" customFormat="1" ht="12.6" customHeight="1">
      <c r="A93" s="145">
        <v>31</v>
      </c>
      <c r="B93" s="146" t="s">
        <v>838</v>
      </c>
      <c r="C93" s="173">
        <f t="shared" si="27"/>
        <v>4678206</v>
      </c>
      <c r="D93" s="154">
        <f>SUMIFS('Plan rashoda za unos u SAP'!$K$3:$K$501,'Plan rashoda za unos u SAP'!$C$3:$C$501,"=11",'Plan rashoda za unos u SAP'!$N$3:$N$501,"=31")</f>
        <v>4678206</v>
      </c>
      <c r="E93" s="154">
        <f>SUMIFS('Plan rashoda za unos u SAP'!$K$3:$K$501,'Plan rashoda za unos u SAP'!$C$3:$C$501,"=12",'Plan rashoda za unos u SAP'!$N$3:$N$501,"=31")</f>
        <v>0</v>
      </c>
      <c r="F93" s="154">
        <f>SUMIFS('Plan rashoda za unos u SAP'!$K$3:$K$501,'Plan rashoda za unos u SAP'!$C$3:$C$501,"=31",'Plan rashoda za unos u SAP'!$N$3:$N$501,"=31")</f>
        <v>0</v>
      </c>
      <c r="G93" s="154">
        <f>SUMIFS('Plan rashoda za unos u SAP'!$K$3:$K$501,'Plan rashoda za unos u SAP'!$C$3:$C$501,"=43",'Plan rashoda za unos u SAP'!$N$3:$N$501,"=31")</f>
        <v>0</v>
      </c>
      <c r="H93" s="154">
        <f>SUMIFS('Plan rashoda za unos u SAP'!$K$3:$K$501,'Plan rashoda za unos u SAP'!$C$3:$C$501,"=51",'Plan rashoda za unos u SAP'!$N$3:$N$501,"=31")</f>
        <v>0</v>
      </c>
      <c r="I93" s="154">
        <f>SUMIFS('Plan rashoda za unos u SAP'!$K$3:$K$501,'Plan rashoda za unos u SAP'!$C$3:$C$501,"=52",'Plan rashoda za unos u SAP'!$N$3:$N$501,"=31")</f>
        <v>0</v>
      </c>
      <c r="J93" s="154">
        <f>SUMIFS('Plan rashoda za unos u SAP'!$K$3:$K$501,'Plan rashoda za unos u SAP'!$C$3:$C$501,"=559",'Plan rashoda za unos u SAP'!$N$3:$N$501,"=31")</f>
        <v>0</v>
      </c>
      <c r="K93" s="154">
        <f>SUMIFS('Plan rashoda za unos u SAP'!$K$3:$K$501,'Plan rashoda za unos u SAP'!$C$3:$C$501,"=561",'Plan rashoda za unos u SAP'!$N$3:$N$501,"=31")</f>
        <v>0</v>
      </c>
      <c r="L93" s="154">
        <f>SUMIFS('Plan rashoda za unos u SAP'!$K$3:$K$501,'Plan rashoda za unos u SAP'!$C$3:$C$501,"=563",'Plan rashoda za unos u SAP'!$N$3:$N$501,"=31")</f>
        <v>0</v>
      </c>
      <c r="M93" s="154">
        <f>SUMIFS('Plan rashoda za unos u SAP'!$K$3:$K$501,'Plan rashoda za unos u SAP'!$C$3:$C$501,"=61",'Plan rashoda za unos u SAP'!$N$3:$N$501,"=31")</f>
        <v>0</v>
      </c>
      <c r="N93" s="154">
        <f>SUMIFS('Plan rashoda za unos u SAP'!$K$3:$K$501,'Plan rashoda za unos u SAP'!$C$3:$C$501,"=63",'Plan rashoda za unos u SAP'!$N$3:$N$501,"=31")</f>
        <v>0</v>
      </c>
      <c r="O93" s="154">
        <f>SUMIFS('Plan rashoda za unos u SAP'!$K$3:$K$501,'Plan rashoda za unos u SAP'!$C$3:$C$501,"=71",'Plan rashoda za unos u SAP'!$N$3:$N$501,"=31")</f>
        <v>0</v>
      </c>
      <c r="P93" s="154">
        <f>SUMIFS('Plan rashoda za unos u SAP'!$K$3:$K$501,'Plan rashoda za unos u SAP'!$C$3:$C$501,"=81",'Plan rashoda za unos u SAP'!$N$3:$N$501,"=31")</f>
        <v>0</v>
      </c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159"/>
      <c r="BX93" s="159"/>
      <c r="BY93" s="159"/>
      <c r="BZ93" s="159"/>
      <c r="CA93" s="159"/>
      <c r="CB93" s="159"/>
      <c r="CC93" s="159"/>
      <c r="CD93" s="159"/>
      <c r="CE93" s="159"/>
      <c r="CF93" s="159"/>
      <c r="CG93" s="159"/>
      <c r="CH93" s="159"/>
      <c r="CI93" s="159"/>
      <c r="CJ93" s="159"/>
      <c r="CK93" s="159"/>
      <c r="CL93" s="159"/>
      <c r="CM93" s="159"/>
      <c r="CN93" s="159"/>
      <c r="CO93" s="159"/>
      <c r="CP93" s="159"/>
      <c r="CQ93" s="159"/>
      <c r="CR93" s="159"/>
      <c r="CS93" s="159"/>
      <c r="CT93" s="159"/>
      <c r="CU93" s="159"/>
      <c r="CV93" s="159"/>
      <c r="CW93" s="159"/>
      <c r="CX93" s="159"/>
      <c r="CY93" s="159"/>
      <c r="CZ93" s="159"/>
      <c r="DA93" s="159"/>
      <c r="DB93" s="159"/>
      <c r="DC93" s="159"/>
      <c r="DD93" s="159"/>
      <c r="DE93" s="159"/>
      <c r="DF93" s="159"/>
      <c r="DG93" s="159"/>
      <c r="DH93" s="159"/>
      <c r="DI93" s="159"/>
      <c r="DJ93" s="159"/>
      <c r="DK93" s="159"/>
      <c r="DL93" s="159"/>
      <c r="DM93" s="159"/>
      <c r="DN93" s="159"/>
      <c r="DO93" s="159"/>
      <c r="DP93" s="159"/>
      <c r="DQ93" s="159"/>
      <c r="DR93" s="159"/>
      <c r="DS93" s="159"/>
      <c r="DT93" s="159"/>
      <c r="DU93" s="159"/>
      <c r="DV93" s="159"/>
      <c r="DW93" s="159"/>
      <c r="DX93" s="159"/>
      <c r="DY93" s="159"/>
      <c r="DZ93" s="159"/>
      <c r="EA93" s="159"/>
      <c r="EB93" s="159"/>
      <c r="EC93" s="159"/>
      <c r="ED93" s="159"/>
      <c r="EE93" s="159"/>
      <c r="EF93" s="159"/>
      <c r="EG93" s="159"/>
      <c r="EH93" s="159"/>
      <c r="EI93" s="159"/>
      <c r="EJ93" s="159"/>
      <c r="EK93" s="159"/>
      <c r="EL93" s="159"/>
      <c r="EM93" s="159"/>
      <c r="EN93" s="159"/>
      <c r="EO93" s="159"/>
      <c r="EP93" s="159"/>
      <c r="EQ93" s="159"/>
      <c r="ER93" s="159"/>
      <c r="ES93" s="159"/>
      <c r="ET93" s="159"/>
      <c r="EU93" s="159"/>
      <c r="EV93" s="159"/>
      <c r="EW93" s="159"/>
      <c r="EX93" s="159"/>
      <c r="EY93" s="159"/>
      <c r="EZ93" s="159"/>
      <c r="FA93" s="159"/>
      <c r="FB93" s="159"/>
      <c r="FC93" s="159"/>
      <c r="FD93" s="159"/>
      <c r="FE93" s="159"/>
      <c r="FF93" s="159"/>
      <c r="FG93" s="159"/>
      <c r="FH93" s="159"/>
      <c r="FI93" s="159"/>
      <c r="FJ93" s="159"/>
      <c r="FK93" s="159"/>
      <c r="FL93" s="159"/>
      <c r="FM93" s="159"/>
      <c r="FN93" s="159"/>
      <c r="FO93" s="159"/>
      <c r="FP93" s="159"/>
      <c r="FQ93" s="159"/>
      <c r="FR93" s="159"/>
      <c r="FS93" s="159"/>
      <c r="FT93" s="159"/>
      <c r="FU93" s="159"/>
      <c r="FV93" s="159"/>
      <c r="FW93" s="159"/>
      <c r="FX93" s="159"/>
      <c r="FY93" s="159"/>
      <c r="FZ93" s="159"/>
      <c r="GA93" s="159"/>
      <c r="GB93" s="159"/>
      <c r="GC93" s="159"/>
      <c r="GD93" s="159"/>
      <c r="GE93" s="160"/>
      <c r="GF93" s="160"/>
      <c r="GG93" s="160"/>
      <c r="GH93" s="160"/>
      <c r="GI93" s="160"/>
      <c r="GJ93" s="160"/>
      <c r="GK93" s="160"/>
      <c r="GL93" s="160"/>
      <c r="GM93" s="160"/>
      <c r="GN93" s="160"/>
      <c r="GO93" s="160"/>
      <c r="GP93" s="160"/>
      <c r="GQ93" s="160"/>
      <c r="GR93" s="160"/>
      <c r="GS93" s="160"/>
      <c r="GT93" s="160"/>
      <c r="GU93" s="160"/>
      <c r="GV93" s="160"/>
      <c r="GW93" s="160"/>
      <c r="GX93" s="160"/>
      <c r="GY93" s="160"/>
      <c r="GZ93" s="160"/>
      <c r="HA93" s="160"/>
      <c r="HB93" s="160"/>
      <c r="HC93" s="160"/>
      <c r="HD93" s="160"/>
      <c r="HE93" s="160"/>
      <c r="HF93" s="160"/>
      <c r="HG93" s="160"/>
      <c r="HH93" s="160"/>
      <c r="HI93" s="160"/>
      <c r="HJ93" s="160"/>
      <c r="HK93" s="160"/>
      <c r="HL93" s="160"/>
      <c r="HM93" s="160"/>
      <c r="HN93" s="160"/>
      <c r="HO93" s="160"/>
      <c r="HP93" s="160"/>
      <c r="HQ93" s="160"/>
      <c r="HR93" s="160"/>
      <c r="HS93" s="160"/>
      <c r="HT93" s="160"/>
      <c r="HU93" s="160"/>
      <c r="HV93" s="160"/>
      <c r="HW93" s="160"/>
      <c r="HX93" s="160"/>
      <c r="HY93" s="160"/>
      <c r="HZ93" s="160"/>
      <c r="IA93" s="160"/>
      <c r="IB93" s="160"/>
      <c r="IC93" s="160"/>
      <c r="ID93" s="160"/>
      <c r="IE93" s="160"/>
      <c r="IF93" s="160"/>
      <c r="IG93" s="160"/>
      <c r="IH93" s="160"/>
      <c r="II93" s="160"/>
      <c r="IJ93" s="160"/>
      <c r="IK93" s="160"/>
      <c r="IL93" s="160"/>
      <c r="IM93" s="160"/>
      <c r="IN93" s="160"/>
      <c r="IO93" s="160"/>
      <c r="IP93" s="160"/>
      <c r="IQ93" s="160"/>
      <c r="IR93" s="160"/>
      <c r="IS93" s="160"/>
      <c r="IT93" s="160"/>
      <c r="IU93" s="160"/>
      <c r="IV93" s="160"/>
    </row>
    <row r="94" spans="1:256" s="159" customFormat="1" ht="12.6" customHeight="1">
      <c r="A94" s="157">
        <v>32</v>
      </c>
      <c r="B94" s="158" t="s">
        <v>841</v>
      </c>
      <c r="C94" s="174">
        <f t="shared" si="27"/>
        <v>946988</v>
      </c>
      <c r="D94" s="154">
        <f>SUMIFS('Plan rashoda za unos u SAP'!$K$3:$K$501,'Plan rashoda za unos u SAP'!$C$3:$C$501,"=11",'Plan rashoda za unos u SAP'!$N$3:$N$501,"=32")</f>
        <v>864988</v>
      </c>
      <c r="E94" s="154">
        <f>SUMIFS('Plan rashoda za unos u SAP'!$K$3:$K$501,'Plan rashoda za unos u SAP'!$C$3:$C$501,"=12",'Plan rashoda za unos u SAP'!$N$3:$N$501,"=32")</f>
        <v>0</v>
      </c>
      <c r="F94" s="154">
        <f>SUMIFS('Plan rashoda za unos u SAP'!$K$3:$K$501,'Plan rashoda za unos u SAP'!$C$3:$C$501,"=31",'Plan rashoda za unos u SAP'!$N$3:$N$501,"=32")</f>
        <v>13000</v>
      </c>
      <c r="G94" s="154">
        <f>SUMIFS('Plan rashoda za unos u SAP'!$K$3:$K$501,'Plan rashoda za unos u SAP'!$C$3:$C$501,"=43",'Plan rashoda za unos u SAP'!$N$3:$N$501,"=32")</f>
        <v>0</v>
      </c>
      <c r="H94" s="154">
        <f>SUMIFS('Plan rashoda za unos u SAP'!$K$3:$K$501,'Plan rashoda za unos u SAP'!$C$3:$C$501,"=51",'Plan rashoda za unos u SAP'!$N$3:$N$501,"=32")</f>
        <v>0</v>
      </c>
      <c r="I94" s="154">
        <f>SUMIFS('Plan rashoda za unos u SAP'!$K$3:$K$501,'Plan rashoda za unos u SAP'!$C$3:$C$501,"=52",'Plan rashoda za unos u SAP'!$N$3:$N$501,"=32")</f>
        <v>50000</v>
      </c>
      <c r="J94" s="154">
        <f>SUMIFS('Plan rashoda za unos u SAP'!$K$3:$K$501,'Plan rashoda za unos u SAP'!$C$3:$C$501,"=559",'Plan rashoda za unos u SAP'!$N$3:$N$501,"=32")</f>
        <v>0</v>
      </c>
      <c r="K94" s="154">
        <f>SUMIFS('Plan rashoda za unos u SAP'!$K$3:$K$501,'Plan rashoda za unos u SAP'!$C$3:$C$501,"=561",'Plan rashoda za unos u SAP'!$N$3:$N$501,"=32")</f>
        <v>0</v>
      </c>
      <c r="L94" s="154">
        <f>SUMIFS('Plan rashoda za unos u SAP'!$K$3:$K$501,'Plan rashoda za unos u SAP'!$C$3:$C$501,"=563",'Plan rashoda za unos u SAP'!$N$3:$N$501,"=32")</f>
        <v>0</v>
      </c>
      <c r="M94" s="154">
        <f>SUMIFS('Plan rashoda za unos u SAP'!$K$3:$K$501,'Plan rashoda za unos u SAP'!$C$3:$C$501,"=61",'Plan rashoda za unos u SAP'!$N$3:$N$501,"=32")</f>
        <v>19000</v>
      </c>
      <c r="N94" s="154">
        <f>SUMIFS('Plan rashoda za unos u SAP'!$K$3:$K$501,'Plan rashoda za unos u SAP'!$C$3:$C$501,"=63",'Plan rashoda za unos u SAP'!$N$3:$N$501,"=32")</f>
        <v>0</v>
      </c>
      <c r="O94" s="154">
        <f>SUMIFS('Plan rashoda za unos u SAP'!$K$3:$K$501,'Plan rashoda za unos u SAP'!$C$3:$C$501,"=71",'Plan rashoda za unos u SAP'!$N$3:$N$501,"=32")</f>
        <v>0</v>
      </c>
      <c r="P94" s="154">
        <f>SUMIFS('Plan rashoda za unos u SAP'!$K$3:$K$501,'Plan rashoda za unos u SAP'!$C$3:$C$501,"=81",'Plan rashoda za unos u SAP'!$N$3:$N$501,"=32")</f>
        <v>0</v>
      </c>
      <c r="GE94" s="160"/>
      <c r="GF94" s="160"/>
      <c r="GG94" s="160"/>
      <c r="GH94" s="160"/>
      <c r="GI94" s="160"/>
      <c r="GJ94" s="160"/>
      <c r="GK94" s="160"/>
      <c r="GL94" s="160"/>
      <c r="GM94" s="160"/>
      <c r="GN94" s="160"/>
      <c r="GO94" s="160"/>
      <c r="GP94" s="160"/>
      <c r="GQ94" s="160"/>
      <c r="GR94" s="160"/>
      <c r="GS94" s="160"/>
      <c r="GT94" s="160"/>
      <c r="GU94" s="160"/>
      <c r="GV94" s="160"/>
      <c r="GW94" s="160"/>
      <c r="GX94" s="160"/>
      <c r="GY94" s="160"/>
      <c r="GZ94" s="160"/>
      <c r="HA94" s="160"/>
      <c r="HB94" s="160"/>
      <c r="HC94" s="160"/>
      <c r="HD94" s="160"/>
      <c r="HE94" s="160"/>
      <c r="HF94" s="160"/>
      <c r="HG94" s="160"/>
      <c r="HH94" s="160"/>
      <c r="HI94" s="160"/>
      <c r="HJ94" s="160"/>
      <c r="HK94" s="160"/>
      <c r="HL94" s="160"/>
      <c r="HM94" s="160"/>
      <c r="HN94" s="160"/>
      <c r="HO94" s="160"/>
      <c r="HP94" s="160"/>
      <c r="HQ94" s="160"/>
      <c r="HR94" s="160"/>
      <c r="HS94" s="160"/>
      <c r="HT94" s="160"/>
      <c r="HU94" s="160"/>
      <c r="HV94" s="160"/>
      <c r="HW94" s="160"/>
      <c r="HX94" s="160"/>
      <c r="HY94" s="160"/>
      <c r="HZ94" s="160"/>
      <c r="IA94" s="160"/>
      <c r="IB94" s="160"/>
      <c r="IC94" s="160"/>
      <c r="ID94" s="160"/>
      <c r="IE94" s="160"/>
      <c r="IF94" s="160"/>
      <c r="IG94" s="160"/>
      <c r="IH94" s="160"/>
      <c r="II94" s="160"/>
      <c r="IJ94" s="160"/>
      <c r="IK94" s="160"/>
      <c r="IL94" s="160"/>
      <c r="IM94" s="160"/>
      <c r="IN94" s="160"/>
      <c r="IO94" s="160"/>
      <c r="IP94" s="160"/>
      <c r="IQ94" s="160"/>
      <c r="IR94" s="160"/>
      <c r="IS94" s="160"/>
      <c r="IT94" s="160"/>
      <c r="IU94" s="160"/>
      <c r="IV94" s="160"/>
    </row>
    <row r="95" spans="1:256" s="162" customFormat="1" ht="12.6" customHeight="1">
      <c r="A95" s="157">
        <v>34</v>
      </c>
      <c r="B95" s="158" t="s">
        <v>845</v>
      </c>
      <c r="C95" s="174">
        <f t="shared" si="27"/>
        <v>0</v>
      </c>
      <c r="D95" s="154">
        <f>SUMIFS('Plan rashoda za unos u SAP'!$K$3:$K$501,'Plan rashoda za unos u SAP'!$C$3:$C$501,"=11",'Plan rashoda za unos u SAP'!$N$3:$N$501,"=34")</f>
        <v>0</v>
      </c>
      <c r="E95" s="154">
        <f>SUMIFS('Plan rashoda za unos u SAP'!$K$3:$K$501,'Plan rashoda za unos u SAP'!$C$3:$C$501,"=12",'Plan rashoda za unos u SAP'!$N$3:$N$501,"=34")</f>
        <v>0</v>
      </c>
      <c r="F95" s="154">
        <f>SUMIFS('Plan rashoda za unos u SAP'!$K$3:$K$501,'Plan rashoda za unos u SAP'!$C$3:$C$501,"=31",'Plan rashoda za unos u SAP'!$N$3:$N$501,"=34")</f>
        <v>0</v>
      </c>
      <c r="G95" s="154">
        <f>SUMIFS('Plan rashoda za unos u SAP'!$K$3:$K$501,'Plan rashoda za unos u SAP'!$C$3:$C$501,"=43",'Plan rashoda za unos u SAP'!$N$3:$N$501,"=34")</f>
        <v>0</v>
      </c>
      <c r="H95" s="154">
        <f>SUMIFS('Plan rashoda za unos u SAP'!$K$3:$K$501,'Plan rashoda za unos u SAP'!$C$3:$C$501,"=51",'Plan rashoda za unos u SAP'!$N$3:$N$501,"=34")</f>
        <v>0</v>
      </c>
      <c r="I95" s="154">
        <f>SUMIFS('Plan rashoda za unos u SAP'!$K$3:$K$501,'Plan rashoda za unos u SAP'!$C$3:$C$501,"=52",'Plan rashoda za unos u SAP'!$N$3:$N$501,"=34")</f>
        <v>0</v>
      </c>
      <c r="J95" s="154">
        <f>SUMIFS('Plan rashoda za unos u SAP'!$K$3:$K$501,'Plan rashoda za unos u SAP'!$C$3:$C$501,"=559",'Plan rashoda za unos u SAP'!$N$3:$N$501,"=34")</f>
        <v>0</v>
      </c>
      <c r="K95" s="154">
        <f>SUMIFS('Plan rashoda za unos u SAP'!$K$3:$K$501,'Plan rashoda za unos u SAP'!$C$3:$C$501,"=561",'Plan rashoda za unos u SAP'!$N$3:$N$501,"=34")</f>
        <v>0</v>
      </c>
      <c r="L95" s="154">
        <f>SUMIFS('Plan rashoda za unos u SAP'!$K$3:$K$501,'Plan rashoda za unos u SAP'!$C$3:$C$501,"=563",'Plan rashoda za unos u SAP'!$N$3:$N$501,"=34")</f>
        <v>0</v>
      </c>
      <c r="M95" s="154">
        <f>SUMIFS('Plan rashoda za unos u SAP'!$K$3:$K$501,'Plan rashoda za unos u SAP'!$C$3:$C$501,"=61",'Plan rashoda za unos u SAP'!$N$3:$N$501,"=34")</f>
        <v>0</v>
      </c>
      <c r="N95" s="154">
        <f>SUMIFS('Plan rashoda za unos u SAP'!$K$3:$K$501,'Plan rashoda za unos u SAP'!$C$3:$C$501,"=63",'Plan rashoda za unos u SAP'!$N$3:$N$501,"=34")</f>
        <v>0</v>
      </c>
      <c r="O95" s="154">
        <f>SUMIFS('Plan rashoda za unos u SAP'!$K$3:$K$501,'Plan rashoda za unos u SAP'!$C$3:$C$501,"=71",'Plan rashoda za unos u SAP'!$N$3:$N$501,"=34")</f>
        <v>0</v>
      </c>
      <c r="P95" s="154">
        <f>SUMIFS('Plan rashoda za unos u SAP'!$K$3:$K$501,'Plan rashoda za unos u SAP'!$C$3:$C$501,"=81",'Plan rashoda za unos u SAP'!$N$3:$N$501,"=34")</f>
        <v>0</v>
      </c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59"/>
      <c r="BK95" s="159"/>
      <c r="BL95" s="159"/>
      <c r="BM95" s="159"/>
      <c r="BN95" s="159"/>
      <c r="BO95" s="159"/>
      <c r="BP95" s="159"/>
      <c r="BQ95" s="159"/>
      <c r="BR95" s="159"/>
      <c r="BS95" s="159"/>
      <c r="BT95" s="159"/>
      <c r="BU95" s="159"/>
      <c r="BV95" s="159"/>
      <c r="BW95" s="159"/>
      <c r="BX95" s="159"/>
      <c r="BY95" s="159"/>
      <c r="BZ95" s="159"/>
      <c r="CA95" s="159"/>
      <c r="CB95" s="159"/>
      <c r="CC95" s="159"/>
      <c r="CD95" s="159"/>
      <c r="CE95" s="159"/>
      <c r="CF95" s="159"/>
      <c r="CG95" s="159"/>
      <c r="CH95" s="159"/>
      <c r="CI95" s="159"/>
      <c r="CJ95" s="159"/>
      <c r="CK95" s="159"/>
      <c r="CL95" s="159"/>
      <c r="CM95" s="159"/>
      <c r="CN95" s="159"/>
      <c r="CO95" s="159"/>
      <c r="CP95" s="159"/>
      <c r="CQ95" s="159"/>
      <c r="CR95" s="159"/>
      <c r="CS95" s="159"/>
      <c r="CT95" s="159"/>
      <c r="CU95" s="159"/>
      <c r="CV95" s="159"/>
      <c r="CW95" s="159"/>
      <c r="CX95" s="159"/>
      <c r="CY95" s="159"/>
      <c r="CZ95" s="159"/>
      <c r="DA95" s="159"/>
      <c r="DB95" s="159"/>
      <c r="DC95" s="159"/>
      <c r="DD95" s="159"/>
      <c r="DE95" s="159"/>
      <c r="DF95" s="159"/>
      <c r="DG95" s="159"/>
      <c r="DH95" s="159"/>
      <c r="DI95" s="159"/>
      <c r="DJ95" s="159"/>
      <c r="DK95" s="159"/>
      <c r="DL95" s="159"/>
      <c r="DM95" s="159"/>
      <c r="DN95" s="159"/>
      <c r="DO95" s="159"/>
      <c r="DP95" s="159"/>
      <c r="DQ95" s="159"/>
      <c r="DR95" s="159"/>
      <c r="DS95" s="159"/>
      <c r="DT95" s="159"/>
      <c r="DU95" s="159"/>
      <c r="DV95" s="159"/>
      <c r="DW95" s="159"/>
      <c r="DX95" s="159"/>
      <c r="DY95" s="159"/>
      <c r="DZ95" s="159"/>
      <c r="EA95" s="159"/>
      <c r="EB95" s="159"/>
      <c r="EC95" s="159"/>
      <c r="ED95" s="159"/>
      <c r="EE95" s="159"/>
      <c r="EF95" s="159"/>
      <c r="EG95" s="159"/>
      <c r="EH95" s="159"/>
      <c r="EI95" s="159"/>
      <c r="EJ95" s="159"/>
      <c r="EK95" s="159"/>
      <c r="EL95" s="159"/>
      <c r="EM95" s="159"/>
      <c r="EN95" s="159"/>
      <c r="EO95" s="159"/>
      <c r="EP95" s="159"/>
      <c r="EQ95" s="159"/>
      <c r="ER95" s="159"/>
      <c r="ES95" s="159"/>
      <c r="ET95" s="159"/>
      <c r="EU95" s="159"/>
      <c r="EV95" s="159"/>
      <c r="EW95" s="159"/>
      <c r="EX95" s="159"/>
      <c r="EY95" s="159"/>
      <c r="EZ95" s="159"/>
      <c r="FA95" s="159"/>
      <c r="FB95" s="159"/>
      <c r="FC95" s="159"/>
      <c r="FD95" s="159"/>
      <c r="FE95" s="159"/>
      <c r="FF95" s="159"/>
      <c r="FG95" s="159"/>
      <c r="FH95" s="159"/>
      <c r="FI95" s="159"/>
      <c r="FJ95" s="159"/>
      <c r="FK95" s="159"/>
      <c r="FL95" s="159"/>
      <c r="FM95" s="159"/>
      <c r="FN95" s="159"/>
      <c r="FO95" s="159"/>
      <c r="FP95" s="159"/>
      <c r="FQ95" s="159"/>
      <c r="FR95" s="159"/>
      <c r="FS95" s="159"/>
      <c r="FT95" s="159"/>
      <c r="FU95" s="159"/>
      <c r="FV95" s="159"/>
      <c r="FW95" s="159"/>
      <c r="FX95" s="159"/>
      <c r="FY95" s="159"/>
      <c r="FZ95" s="159"/>
      <c r="GA95" s="159"/>
      <c r="GB95" s="159"/>
      <c r="GC95" s="159"/>
      <c r="GD95" s="159"/>
      <c r="GE95" s="160"/>
      <c r="GF95" s="160"/>
      <c r="GG95" s="160"/>
      <c r="GH95" s="160"/>
      <c r="GI95" s="160"/>
      <c r="GJ95" s="160"/>
      <c r="GK95" s="160"/>
      <c r="GL95" s="160"/>
      <c r="GM95" s="160"/>
      <c r="GN95" s="160"/>
      <c r="GO95" s="160"/>
      <c r="GP95" s="160"/>
      <c r="GQ95" s="160"/>
      <c r="GR95" s="160"/>
      <c r="GS95" s="160"/>
      <c r="GT95" s="160"/>
      <c r="GU95" s="160"/>
      <c r="GV95" s="160"/>
      <c r="GW95" s="160"/>
      <c r="GX95" s="160"/>
      <c r="GY95" s="160"/>
      <c r="GZ95" s="160"/>
      <c r="HA95" s="160"/>
      <c r="HB95" s="160"/>
      <c r="HC95" s="160"/>
      <c r="HD95" s="160"/>
      <c r="HE95" s="160"/>
      <c r="HF95" s="160"/>
      <c r="HG95" s="160"/>
      <c r="HH95" s="160"/>
      <c r="HI95" s="160"/>
      <c r="HJ95" s="160"/>
      <c r="HK95" s="160"/>
      <c r="HL95" s="160"/>
      <c r="HM95" s="160"/>
      <c r="HN95" s="160"/>
      <c r="HO95" s="160"/>
      <c r="HP95" s="160"/>
      <c r="HQ95" s="160"/>
      <c r="HR95" s="160"/>
      <c r="HS95" s="160"/>
      <c r="HT95" s="160"/>
      <c r="HU95" s="160"/>
      <c r="HV95" s="160"/>
      <c r="HW95" s="160"/>
      <c r="HX95" s="160"/>
      <c r="HY95" s="160"/>
      <c r="HZ95" s="160"/>
      <c r="IA95" s="160"/>
      <c r="IB95" s="160"/>
      <c r="IC95" s="160"/>
      <c r="ID95" s="160"/>
      <c r="IE95" s="160"/>
      <c r="IF95" s="160"/>
      <c r="IG95" s="160"/>
      <c r="IH95" s="160"/>
      <c r="II95" s="160"/>
      <c r="IJ95" s="160"/>
      <c r="IK95" s="160"/>
      <c r="IL95" s="160"/>
      <c r="IM95" s="160"/>
      <c r="IN95" s="160"/>
      <c r="IO95" s="160"/>
      <c r="IP95" s="160"/>
      <c r="IQ95" s="160"/>
      <c r="IR95" s="160"/>
      <c r="IS95" s="160"/>
      <c r="IT95" s="160"/>
      <c r="IU95" s="160"/>
      <c r="IV95" s="160"/>
    </row>
    <row r="96" spans="1:256" s="159" customFormat="1" ht="12.6" customHeight="1">
      <c r="A96" s="157">
        <v>35</v>
      </c>
      <c r="B96" s="158" t="s">
        <v>849</v>
      </c>
      <c r="C96" s="174">
        <f t="shared" si="27"/>
        <v>0</v>
      </c>
      <c r="D96" s="154">
        <f>SUMIFS('Plan rashoda za unos u SAP'!$K$3:$K$501,'Plan rashoda za unos u SAP'!$C$3:$C$501,"=11",'Plan rashoda za unos u SAP'!$N$3:$N$501,"=35")</f>
        <v>0</v>
      </c>
      <c r="E96" s="154">
        <f>SUMIFS('Plan rashoda za unos u SAP'!$K$3:$K$501,'Plan rashoda za unos u SAP'!$C$3:$C$501,"=12",'Plan rashoda za unos u SAP'!$N$3:$N$501,"=35")</f>
        <v>0</v>
      </c>
      <c r="F96" s="154">
        <f>SUMIFS('Plan rashoda za unos u SAP'!$K$3:$K$501,'Plan rashoda za unos u SAP'!$C$3:$C$501,"=31",'Plan rashoda za unos u SAP'!$N$3:$N$501,"=35")</f>
        <v>0</v>
      </c>
      <c r="G96" s="154">
        <f>SUMIFS('Plan rashoda za unos u SAP'!$K$3:$K$501,'Plan rashoda za unos u SAP'!$C$3:$C$501,"=43",'Plan rashoda za unos u SAP'!$N$3:$N$501,"=35")</f>
        <v>0</v>
      </c>
      <c r="H96" s="154">
        <f>SUMIFS('Plan rashoda za unos u SAP'!$K$3:$K$501,'Plan rashoda za unos u SAP'!$C$3:$C$501,"=51",'Plan rashoda za unos u SAP'!$N$3:$N$501,"=35")</f>
        <v>0</v>
      </c>
      <c r="I96" s="154">
        <f>SUMIFS('Plan rashoda za unos u SAP'!$K$3:$K$501,'Plan rashoda za unos u SAP'!$C$3:$C$501,"=52",'Plan rashoda za unos u SAP'!$N$3:$N$501,"=35")</f>
        <v>0</v>
      </c>
      <c r="J96" s="154">
        <f>SUMIFS('Plan rashoda za unos u SAP'!$K$3:$K$501,'Plan rashoda za unos u SAP'!$C$3:$C$501,"=559",'Plan rashoda za unos u SAP'!$N$3:$N$501,"=35")</f>
        <v>0</v>
      </c>
      <c r="K96" s="154">
        <f>SUMIFS('Plan rashoda za unos u SAP'!$K$3:$K$501,'Plan rashoda za unos u SAP'!$C$3:$C$501,"=561",'Plan rashoda za unos u SAP'!$N$3:$N$501,"=35")</f>
        <v>0</v>
      </c>
      <c r="L96" s="154">
        <f>SUMIFS('Plan rashoda za unos u SAP'!$K$3:$K$501,'Plan rashoda za unos u SAP'!$C$3:$C$501,"=563",'Plan rashoda za unos u SAP'!$N$3:$N$501,"=35")</f>
        <v>0</v>
      </c>
      <c r="M96" s="154">
        <f>SUMIFS('Plan rashoda za unos u SAP'!$K$3:$K$501,'Plan rashoda za unos u SAP'!$C$3:$C$501,"=61",'Plan rashoda za unos u SAP'!$N$3:$N$501,"=35")</f>
        <v>0</v>
      </c>
      <c r="N96" s="154">
        <f>SUMIFS('Plan rashoda za unos u SAP'!$K$3:$K$501,'Plan rashoda za unos u SAP'!$C$3:$C$501,"=63",'Plan rashoda za unos u SAP'!$N$3:$N$501,"=35")</f>
        <v>0</v>
      </c>
      <c r="O96" s="154">
        <f>SUMIFS('Plan rashoda za unos u SAP'!$K$3:$K$501,'Plan rashoda za unos u SAP'!$C$3:$C$501,"=71",'Plan rashoda za unos u SAP'!$N$3:$N$501,"=35")</f>
        <v>0</v>
      </c>
      <c r="P96" s="154">
        <f>SUMIFS('Plan rashoda za unos u SAP'!$K$3:$K$501,'Plan rashoda za unos u SAP'!$C$3:$C$501,"=81",'Plan rashoda za unos u SAP'!$N$3:$N$501,"=35")</f>
        <v>0</v>
      </c>
      <c r="GE96" s="160"/>
      <c r="GF96" s="160"/>
      <c r="GG96" s="160"/>
      <c r="GH96" s="160"/>
      <c r="GI96" s="160"/>
      <c r="GJ96" s="160"/>
      <c r="GK96" s="160"/>
      <c r="GL96" s="160"/>
      <c r="GM96" s="160"/>
      <c r="GN96" s="160"/>
      <c r="GO96" s="160"/>
      <c r="GP96" s="160"/>
      <c r="GQ96" s="160"/>
      <c r="GR96" s="160"/>
      <c r="GS96" s="160"/>
      <c r="GT96" s="160"/>
      <c r="GU96" s="160"/>
      <c r="GV96" s="160"/>
      <c r="GW96" s="160"/>
      <c r="GX96" s="160"/>
      <c r="GY96" s="160"/>
      <c r="GZ96" s="160"/>
      <c r="HA96" s="160"/>
      <c r="HB96" s="160"/>
      <c r="HC96" s="160"/>
      <c r="HD96" s="160"/>
      <c r="HE96" s="160"/>
      <c r="HF96" s="160"/>
      <c r="HG96" s="160"/>
      <c r="HH96" s="160"/>
      <c r="HI96" s="160"/>
      <c r="HJ96" s="160"/>
      <c r="HK96" s="160"/>
      <c r="HL96" s="160"/>
      <c r="HM96" s="160"/>
      <c r="HN96" s="160"/>
      <c r="HO96" s="160"/>
      <c r="HP96" s="160"/>
      <c r="HQ96" s="160"/>
      <c r="HR96" s="160"/>
      <c r="HS96" s="160"/>
      <c r="HT96" s="160"/>
      <c r="HU96" s="160"/>
      <c r="HV96" s="160"/>
      <c r="HW96" s="160"/>
      <c r="HX96" s="160"/>
      <c r="HY96" s="160"/>
      <c r="HZ96" s="160"/>
      <c r="IA96" s="160"/>
      <c r="IB96" s="160"/>
      <c r="IC96" s="160"/>
      <c r="ID96" s="160"/>
      <c r="IE96" s="160"/>
      <c r="IF96" s="160"/>
      <c r="IG96" s="160"/>
      <c r="IH96" s="160"/>
      <c r="II96" s="160"/>
      <c r="IJ96" s="160"/>
      <c r="IK96" s="160"/>
      <c r="IL96" s="160"/>
      <c r="IM96" s="160"/>
      <c r="IN96" s="160"/>
      <c r="IO96" s="160"/>
      <c r="IP96" s="160"/>
      <c r="IQ96" s="160"/>
      <c r="IR96" s="160"/>
      <c r="IS96" s="160"/>
      <c r="IT96" s="160"/>
      <c r="IU96" s="160"/>
      <c r="IV96" s="160"/>
    </row>
    <row r="97" spans="1:256" s="159" customFormat="1" ht="12.6" customHeight="1">
      <c r="A97" s="157">
        <v>36</v>
      </c>
      <c r="B97" s="165" t="s">
        <v>852</v>
      </c>
      <c r="C97" s="174">
        <f t="shared" si="27"/>
        <v>0</v>
      </c>
      <c r="D97" s="154">
        <f>SUMIFS('Plan rashoda za unos u SAP'!$K$3:$K$501,'Plan rashoda za unos u SAP'!$C$3:$C$501,"=11",'Plan rashoda za unos u SAP'!$N$3:$N$501,"=36")</f>
        <v>0</v>
      </c>
      <c r="E97" s="154">
        <f>SUMIFS('Plan rashoda za unos u SAP'!$K$3:$K$501,'Plan rashoda za unos u SAP'!$C$3:$C$501,"=12",'Plan rashoda za unos u SAP'!$N$3:$N$501,"=36")</f>
        <v>0</v>
      </c>
      <c r="F97" s="154">
        <f>SUMIFS('Plan rashoda za unos u SAP'!$K$3:$K$501,'Plan rashoda za unos u SAP'!$C$3:$C$501,"=31",'Plan rashoda za unos u SAP'!$N$3:$N$501,"=36")</f>
        <v>0</v>
      </c>
      <c r="G97" s="154">
        <f>SUMIFS('Plan rashoda za unos u SAP'!$K$3:$K$501,'Plan rashoda za unos u SAP'!$C$3:$C$501,"=43",'Plan rashoda za unos u SAP'!$N$3:$N$501,"=36")</f>
        <v>0</v>
      </c>
      <c r="H97" s="154">
        <f>SUMIFS('Plan rashoda za unos u SAP'!$K$3:$K$501,'Plan rashoda za unos u SAP'!$C$3:$C$501,"=51",'Plan rashoda za unos u SAP'!$N$3:$N$501,"=36")</f>
        <v>0</v>
      </c>
      <c r="I97" s="154">
        <f>SUMIFS('Plan rashoda za unos u SAP'!$K$3:$K$501,'Plan rashoda za unos u SAP'!$C$3:$C$501,"=52",'Plan rashoda za unos u SAP'!$N$3:$N$501,"=36")</f>
        <v>0</v>
      </c>
      <c r="J97" s="154">
        <f>SUMIFS('Plan rashoda za unos u SAP'!$K$3:$K$501,'Plan rashoda za unos u SAP'!$C$3:$C$501,"=559",'Plan rashoda za unos u SAP'!$N$3:$N$501,"=36")</f>
        <v>0</v>
      </c>
      <c r="K97" s="154">
        <f>SUMIFS('Plan rashoda za unos u SAP'!$K$3:$K$501,'Plan rashoda za unos u SAP'!$C$3:$C$501,"=561",'Plan rashoda za unos u SAP'!$N$3:$N$501,"=36")</f>
        <v>0</v>
      </c>
      <c r="L97" s="154">
        <f>SUMIFS('Plan rashoda za unos u SAP'!$K$3:$K$501,'Plan rashoda za unos u SAP'!$C$3:$C$501,"=563",'Plan rashoda za unos u SAP'!$N$3:$N$501,"=36")</f>
        <v>0</v>
      </c>
      <c r="M97" s="154">
        <f>SUMIFS('Plan rashoda za unos u SAP'!$K$3:$K$501,'Plan rashoda za unos u SAP'!$C$3:$C$501,"=61",'Plan rashoda za unos u SAP'!$N$3:$N$501,"=36")</f>
        <v>0</v>
      </c>
      <c r="N97" s="154">
        <f>SUMIFS('Plan rashoda za unos u SAP'!$K$3:$K$501,'Plan rashoda za unos u SAP'!$C$3:$C$501,"=63",'Plan rashoda za unos u SAP'!$N$3:$N$501,"=36")</f>
        <v>0</v>
      </c>
      <c r="O97" s="154">
        <f>SUMIFS('Plan rashoda za unos u SAP'!$K$3:$K$501,'Plan rashoda za unos u SAP'!$C$3:$C$501,"=71",'Plan rashoda za unos u SAP'!$N$3:$N$501,"=36")</f>
        <v>0</v>
      </c>
      <c r="P97" s="154">
        <f>SUMIFS('Plan rashoda za unos u SAP'!$K$3:$K$501,'Plan rashoda za unos u SAP'!$C$3:$C$501,"=81",'Plan rashoda za unos u SAP'!$N$3:$N$501,"=36")</f>
        <v>0</v>
      </c>
      <c r="GE97" s="160"/>
      <c r="GF97" s="160"/>
      <c r="GG97" s="160"/>
      <c r="GH97" s="160"/>
      <c r="GI97" s="160"/>
      <c r="GJ97" s="160"/>
      <c r="GK97" s="160"/>
      <c r="GL97" s="160"/>
      <c r="GM97" s="160"/>
      <c r="GN97" s="160"/>
      <c r="GO97" s="160"/>
      <c r="GP97" s="160"/>
      <c r="GQ97" s="160"/>
      <c r="GR97" s="160"/>
      <c r="GS97" s="160"/>
      <c r="GT97" s="160"/>
      <c r="GU97" s="160"/>
      <c r="GV97" s="160"/>
      <c r="GW97" s="160"/>
      <c r="GX97" s="160"/>
      <c r="GY97" s="160"/>
      <c r="GZ97" s="160"/>
      <c r="HA97" s="160"/>
      <c r="HB97" s="160"/>
      <c r="HC97" s="160"/>
      <c r="HD97" s="160"/>
      <c r="HE97" s="160"/>
      <c r="HF97" s="160"/>
      <c r="HG97" s="160"/>
      <c r="HH97" s="160"/>
      <c r="HI97" s="160"/>
      <c r="HJ97" s="160"/>
      <c r="HK97" s="160"/>
      <c r="HL97" s="160"/>
      <c r="HM97" s="160"/>
      <c r="HN97" s="160"/>
      <c r="HO97" s="160"/>
      <c r="HP97" s="160"/>
      <c r="HQ97" s="160"/>
      <c r="HR97" s="160"/>
      <c r="HS97" s="160"/>
      <c r="HT97" s="160"/>
      <c r="HU97" s="160"/>
      <c r="HV97" s="160"/>
      <c r="HW97" s="160"/>
      <c r="HX97" s="160"/>
      <c r="HY97" s="160"/>
      <c r="HZ97" s="160"/>
      <c r="IA97" s="160"/>
      <c r="IB97" s="160"/>
      <c r="IC97" s="160"/>
      <c r="ID97" s="160"/>
      <c r="IE97" s="160"/>
      <c r="IF97" s="160"/>
      <c r="IG97" s="160"/>
      <c r="IH97" s="160"/>
      <c r="II97" s="160"/>
      <c r="IJ97" s="160"/>
      <c r="IK97" s="160"/>
      <c r="IL97" s="160"/>
      <c r="IM97" s="160"/>
      <c r="IN97" s="160"/>
      <c r="IO97" s="160"/>
      <c r="IP97" s="160"/>
      <c r="IQ97" s="160"/>
      <c r="IR97" s="160"/>
      <c r="IS97" s="160"/>
      <c r="IT97" s="160"/>
      <c r="IU97" s="160"/>
      <c r="IV97" s="160"/>
    </row>
    <row r="98" spans="1:256" s="166" customFormat="1" ht="12.6" customHeight="1">
      <c r="A98" s="157">
        <v>37</v>
      </c>
      <c r="B98" s="158" t="s">
        <v>857</v>
      </c>
      <c r="C98" s="174">
        <f t="shared" si="27"/>
        <v>0</v>
      </c>
      <c r="D98" s="154">
        <f>SUMIFS('Plan rashoda za unos u SAP'!$K$3:$K$501,'Plan rashoda za unos u SAP'!$C$3:$C$501,"=11",'Plan rashoda za unos u SAP'!$N$3:$N$501,"=37")</f>
        <v>0</v>
      </c>
      <c r="E98" s="154">
        <f>SUMIFS('Plan rashoda za unos u SAP'!$K$3:$K$501,'Plan rashoda za unos u SAP'!$C$3:$C$501,"=12",'Plan rashoda za unos u SAP'!$N$3:$N$501,"=37")</f>
        <v>0</v>
      </c>
      <c r="F98" s="154">
        <f>SUMIFS('Plan rashoda za unos u SAP'!$K$3:$K$501,'Plan rashoda za unos u SAP'!$C$3:$C$501,"=31",'Plan rashoda za unos u SAP'!$N$3:$N$501,"=37")</f>
        <v>0</v>
      </c>
      <c r="G98" s="154">
        <f>SUMIFS('Plan rashoda za unos u SAP'!$K$3:$K$501,'Plan rashoda za unos u SAP'!$C$3:$C$501,"=43",'Plan rashoda za unos u SAP'!$N$3:$N$501,"=37")</f>
        <v>0</v>
      </c>
      <c r="H98" s="154">
        <f>SUMIFS('Plan rashoda za unos u SAP'!$K$3:$K$501,'Plan rashoda za unos u SAP'!$C$3:$C$501,"=51",'Plan rashoda za unos u SAP'!$N$3:$N$501,"=37")</f>
        <v>0</v>
      </c>
      <c r="I98" s="154">
        <f>SUMIFS('Plan rashoda za unos u SAP'!$K$3:$K$501,'Plan rashoda za unos u SAP'!$C$3:$C$501,"=52",'Plan rashoda za unos u SAP'!$N$3:$N$501,"=37")</f>
        <v>0</v>
      </c>
      <c r="J98" s="154">
        <f>SUMIFS('Plan rashoda za unos u SAP'!$K$3:$K$501,'Plan rashoda za unos u SAP'!$C$3:$C$501,"=559",'Plan rashoda za unos u SAP'!$N$3:$N$501,"=37")</f>
        <v>0</v>
      </c>
      <c r="K98" s="154">
        <f>SUMIFS('Plan rashoda za unos u SAP'!$K$3:$K$501,'Plan rashoda za unos u SAP'!$C$3:$C$501,"=561",'Plan rashoda za unos u SAP'!$N$3:$N$501,"=37")</f>
        <v>0</v>
      </c>
      <c r="L98" s="154">
        <f>SUMIFS('Plan rashoda za unos u SAP'!$K$3:$K$501,'Plan rashoda za unos u SAP'!$C$3:$C$501,"=563",'Plan rashoda za unos u SAP'!$N$3:$N$501,"=37")</f>
        <v>0</v>
      </c>
      <c r="M98" s="154">
        <f>SUMIFS('Plan rashoda za unos u SAP'!$K$3:$K$501,'Plan rashoda za unos u SAP'!$C$3:$C$501,"=61",'Plan rashoda za unos u SAP'!$N$3:$N$501,"=37")</f>
        <v>0</v>
      </c>
      <c r="N98" s="154">
        <f>SUMIFS('Plan rashoda za unos u SAP'!$K$3:$K$501,'Plan rashoda za unos u SAP'!$C$3:$C$501,"=63",'Plan rashoda za unos u SAP'!$N$3:$N$501,"=37")</f>
        <v>0</v>
      </c>
      <c r="O98" s="154">
        <f>SUMIFS('Plan rashoda za unos u SAP'!$K$3:$K$501,'Plan rashoda za unos u SAP'!$C$3:$C$501,"=71",'Plan rashoda za unos u SAP'!$N$3:$N$501,"=37")</f>
        <v>0</v>
      </c>
      <c r="P98" s="154">
        <f>SUMIFS('Plan rashoda za unos u SAP'!$K$3:$K$501,'Plan rashoda za unos u SAP'!$C$3:$C$501,"=81",'Plan rashoda za unos u SAP'!$N$3:$N$501,"=37")</f>
        <v>0</v>
      </c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159"/>
      <c r="BX98" s="159"/>
      <c r="BY98" s="159"/>
      <c r="BZ98" s="159"/>
      <c r="CA98" s="159"/>
      <c r="CB98" s="159"/>
      <c r="CC98" s="159"/>
      <c r="CD98" s="159"/>
      <c r="CE98" s="159"/>
      <c r="CF98" s="159"/>
      <c r="CG98" s="159"/>
      <c r="CH98" s="159"/>
      <c r="CI98" s="159"/>
      <c r="CJ98" s="159"/>
      <c r="CK98" s="159"/>
      <c r="CL98" s="159"/>
      <c r="CM98" s="159"/>
      <c r="CN98" s="159"/>
      <c r="CO98" s="159"/>
      <c r="CP98" s="159"/>
      <c r="CQ98" s="159"/>
      <c r="CR98" s="159"/>
      <c r="CS98" s="159"/>
      <c r="CT98" s="159"/>
      <c r="CU98" s="159"/>
      <c r="CV98" s="159"/>
      <c r="CW98" s="159"/>
      <c r="CX98" s="159"/>
      <c r="CY98" s="159"/>
      <c r="CZ98" s="159"/>
      <c r="DA98" s="159"/>
      <c r="DB98" s="159"/>
      <c r="DC98" s="159"/>
      <c r="DD98" s="159"/>
      <c r="DE98" s="159"/>
      <c r="DF98" s="159"/>
      <c r="DG98" s="159"/>
      <c r="DH98" s="159"/>
      <c r="DI98" s="159"/>
      <c r="DJ98" s="159"/>
      <c r="DK98" s="159"/>
      <c r="DL98" s="159"/>
      <c r="DM98" s="159"/>
      <c r="DN98" s="159"/>
      <c r="DO98" s="159"/>
      <c r="DP98" s="159"/>
      <c r="DQ98" s="159"/>
      <c r="DR98" s="159"/>
      <c r="DS98" s="159"/>
      <c r="DT98" s="159"/>
      <c r="DU98" s="159"/>
      <c r="DV98" s="159"/>
      <c r="DW98" s="159"/>
      <c r="DX98" s="159"/>
      <c r="DY98" s="159"/>
      <c r="DZ98" s="159"/>
      <c r="EA98" s="159"/>
      <c r="EB98" s="159"/>
      <c r="EC98" s="159"/>
      <c r="ED98" s="159"/>
      <c r="EE98" s="159"/>
      <c r="EF98" s="159"/>
      <c r="EG98" s="159"/>
      <c r="EH98" s="159"/>
      <c r="EI98" s="159"/>
      <c r="EJ98" s="159"/>
      <c r="EK98" s="159"/>
      <c r="EL98" s="159"/>
      <c r="EM98" s="159"/>
      <c r="EN98" s="159"/>
      <c r="EO98" s="159"/>
      <c r="EP98" s="159"/>
      <c r="EQ98" s="159"/>
      <c r="ER98" s="159"/>
      <c r="ES98" s="159"/>
      <c r="ET98" s="159"/>
      <c r="EU98" s="159"/>
      <c r="EV98" s="159"/>
      <c r="EW98" s="159"/>
      <c r="EX98" s="159"/>
      <c r="EY98" s="159"/>
      <c r="EZ98" s="159"/>
      <c r="FA98" s="159"/>
      <c r="FB98" s="159"/>
      <c r="FC98" s="159"/>
      <c r="FD98" s="159"/>
      <c r="FE98" s="159"/>
      <c r="FF98" s="159"/>
      <c r="FG98" s="159"/>
      <c r="FH98" s="159"/>
      <c r="FI98" s="159"/>
      <c r="FJ98" s="159"/>
      <c r="FK98" s="159"/>
      <c r="FL98" s="159"/>
      <c r="FM98" s="159"/>
      <c r="FN98" s="159"/>
      <c r="FO98" s="159"/>
      <c r="FP98" s="159"/>
      <c r="FQ98" s="159"/>
      <c r="FR98" s="159"/>
      <c r="FS98" s="159"/>
      <c r="FT98" s="159"/>
      <c r="FU98" s="159"/>
      <c r="FV98" s="159"/>
      <c r="FW98" s="159"/>
      <c r="FX98" s="159"/>
      <c r="FY98" s="159"/>
      <c r="FZ98" s="159"/>
      <c r="GA98" s="159"/>
      <c r="GB98" s="159"/>
      <c r="GC98" s="159"/>
      <c r="GD98" s="159"/>
      <c r="GE98" s="160"/>
      <c r="GF98" s="160"/>
      <c r="GG98" s="160"/>
      <c r="GH98" s="160"/>
      <c r="GI98" s="160"/>
      <c r="GJ98" s="160"/>
      <c r="GK98" s="160"/>
      <c r="GL98" s="160"/>
      <c r="GM98" s="160"/>
      <c r="GN98" s="160"/>
      <c r="GO98" s="160"/>
      <c r="GP98" s="160"/>
      <c r="GQ98" s="160"/>
      <c r="GR98" s="160"/>
      <c r="GS98" s="160"/>
      <c r="GT98" s="160"/>
      <c r="GU98" s="160"/>
      <c r="GV98" s="160"/>
      <c r="GW98" s="160"/>
      <c r="GX98" s="160"/>
      <c r="GY98" s="160"/>
      <c r="GZ98" s="160"/>
      <c r="HA98" s="160"/>
      <c r="HB98" s="160"/>
      <c r="HC98" s="160"/>
      <c r="HD98" s="160"/>
      <c r="HE98" s="160"/>
      <c r="HF98" s="160"/>
      <c r="HG98" s="160"/>
      <c r="HH98" s="160"/>
      <c r="HI98" s="160"/>
      <c r="HJ98" s="160"/>
      <c r="HK98" s="160"/>
      <c r="HL98" s="160"/>
      <c r="HM98" s="160"/>
      <c r="HN98" s="160"/>
      <c r="HO98" s="160"/>
      <c r="HP98" s="160"/>
      <c r="HQ98" s="160"/>
      <c r="HR98" s="160"/>
      <c r="HS98" s="160"/>
      <c r="HT98" s="160"/>
      <c r="HU98" s="160"/>
      <c r="HV98" s="160"/>
      <c r="HW98" s="160"/>
      <c r="HX98" s="160"/>
      <c r="HY98" s="160"/>
      <c r="HZ98" s="160"/>
      <c r="IA98" s="160"/>
      <c r="IB98" s="160"/>
      <c r="IC98" s="160"/>
      <c r="ID98" s="160"/>
      <c r="IE98" s="160"/>
      <c r="IF98" s="160"/>
      <c r="IG98" s="160"/>
      <c r="IH98" s="160"/>
      <c r="II98" s="160"/>
      <c r="IJ98" s="160"/>
      <c r="IK98" s="160"/>
      <c r="IL98" s="160"/>
      <c r="IM98" s="160"/>
      <c r="IN98" s="160"/>
      <c r="IO98" s="160"/>
      <c r="IP98" s="160"/>
      <c r="IQ98" s="160"/>
      <c r="IR98" s="160"/>
      <c r="IS98" s="160"/>
      <c r="IT98" s="160"/>
      <c r="IU98" s="160"/>
      <c r="IV98" s="160"/>
    </row>
    <row r="99" spans="1:256" s="166" customFormat="1" ht="12.6" customHeight="1">
      <c r="A99" s="157">
        <v>38</v>
      </c>
      <c r="B99" s="158" t="s">
        <v>860</v>
      </c>
      <c r="C99" s="174">
        <f t="shared" si="27"/>
        <v>0</v>
      </c>
      <c r="D99" s="154">
        <f>SUMIFS('Plan rashoda za unos u SAP'!$K$3:$K$501,'Plan rashoda za unos u SAP'!$C$3:$C$501,"=11",'Plan rashoda za unos u SAP'!$N$3:$N$501,"=38")</f>
        <v>0</v>
      </c>
      <c r="E99" s="154">
        <f>SUMIFS('Plan rashoda za unos u SAP'!$K$3:$K$501,'Plan rashoda za unos u SAP'!$C$3:$C$501,"=12",'Plan rashoda za unos u SAP'!$N$3:$N$501,"=38")</f>
        <v>0</v>
      </c>
      <c r="F99" s="154">
        <f>SUMIFS('Plan rashoda za unos u SAP'!$K$3:$K$501,'Plan rashoda za unos u SAP'!$C$3:$C$501,"=31",'Plan rashoda za unos u SAP'!$N$3:$N$501,"=38")</f>
        <v>0</v>
      </c>
      <c r="G99" s="154">
        <f>SUMIFS('Plan rashoda za unos u SAP'!$K$3:$K$501,'Plan rashoda za unos u SAP'!$C$3:$C$501,"=43",'Plan rashoda za unos u SAP'!$N$3:$N$501,"=38")</f>
        <v>0</v>
      </c>
      <c r="H99" s="154">
        <f>SUMIFS('Plan rashoda za unos u SAP'!$K$3:$K$501,'Plan rashoda za unos u SAP'!$C$3:$C$501,"=51",'Plan rashoda za unos u SAP'!$N$3:$N$501,"=38")</f>
        <v>0</v>
      </c>
      <c r="I99" s="154">
        <f>SUMIFS('Plan rashoda za unos u SAP'!$K$3:$K$501,'Plan rashoda za unos u SAP'!$C$3:$C$501,"=52",'Plan rashoda za unos u SAP'!$N$3:$N$501,"=38")</f>
        <v>0</v>
      </c>
      <c r="J99" s="154">
        <f>SUMIFS('Plan rashoda za unos u SAP'!$K$3:$K$501,'Plan rashoda za unos u SAP'!$C$3:$C$501,"=559",'Plan rashoda za unos u SAP'!$N$3:$N$501,"=38")</f>
        <v>0</v>
      </c>
      <c r="K99" s="154">
        <f>SUMIFS('Plan rashoda za unos u SAP'!$K$3:$K$501,'Plan rashoda za unos u SAP'!$C$3:$C$501,"=561",'Plan rashoda za unos u SAP'!$N$3:$N$501,"=38")</f>
        <v>0</v>
      </c>
      <c r="L99" s="154">
        <f>SUMIFS('Plan rashoda za unos u SAP'!$K$3:$K$501,'Plan rashoda za unos u SAP'!$C$3:$C$501,"=563",'Plan rashoda za unos u SAP'!$N$3:$N$501,"=38")</f>
        <v>0</v>
      </c>
      <c r="M99" s="154">
        <f>SUMIFS('Plan rashoda za unos u SAP'!$K$3:$K$501,'Plan rashoda za unos u SAP'!$C$3:$C$501,"=61",'Plan rashoda za unos u SAP'!$N$3:$N$501,"=38")</f>
        <v>0</v>
      </c>
      <c r="N99" s="154">
        <f>SUMIFS('Plan rashoda za unos u SAP'!$K$3:$K$501,'Plan rashoda za unos u SAP'!$C$3:$C$501,"=63",'Plan rashoda za unos u SAP'!$N$3:$N$501,"=38")</f>
        <v>0</v>
      </c>
      <c r="O99" s="154">
        <f>SUMIFS('Plan rashoda za unos u SAP'!$K$3:$K$501,'Plan rashoda za unos u SAP'!$C$3:$C$501,"=71",'Plan rashoda za unos u SAP'!$N$3:$N$501,"=38")</f>
        <v>0</v>
      </c>
      <c r="P99" s="154">
        <f>SUMIFS('Plan rashoda za unos u SAP'!$K$3:$K$501,'Plan rashoda za unos u SAP'!$C$3:$C$501,"=81",'Plan rashoda za unos u SAP'!$N$3:$N$501,"=38")</f>
        <v>0</v>
      </c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159"/>
      <c r="BX99" s="159"/>
      <c r="BY99" s="159"/>
      <c r="BZ99" s="159"/>
      <c r="CA99" s="159"/>
      <c r="CB99" s="159"/>
      <c r="CC99" s="159"/>
      <c r="CD99" s="159"/>
      <c r="CE99" s="159"/>
      <c r="CF99" s="159"/>
      <c r="CG99" s="159"/>
      <c r="CH99" s="159"/>
      <c r="CI99" s="159"/>
      <c r="CJ99" s="159"/>
      <c r="CK99" s="159"/>
      <c r="CL99" s="159"/>
      <c r="CM99" s="159"/>
      <c r="CN99" s="159"/>
      <c r="CO99" s="159"/>
      <c r="CP99" s="159"/>
      <c r="CQ99" s="159"/>
      <c r="CR99" s="159"/>
      <c r="CS99" s="159"/>
      <c r="CT99" s="159"/>
      <c r="CU99" s="159"/>
      <c r="CV99" s="159"/>
      <c r="CW99" s="159"/>
      <c r="CX99" s="159"/>
      <c r="CY99" s="159"/>
      <c r="CZ99" s="159"/>
      <c r="DA99" s="159"/>
      <c r="DB99" s="159"/>
      <c r="DC99" s="159"/>
      <c r="DD99" s="159"/>
      <c r="DE99" s="159"/>
      <c r="DF99" s="159"/>
      <c r="DG99" s="159"/>
      <c r="DH99" s="159"/>
      <c r="DI99" s="159"/>
      <c r="DJ99" s="159"/>
      <c r="DK99" s="159"/>
      <c r="DL99" s="159"/>
      <c r="DM99" s="159"/>
      <c r="DN99" s="159"/>
      <c r="DO99" s="159"/>
      <c r="DP99" s="159"/>
      <c r="DQ99" s="159"/>
      <c r="DR99" s="159"/>
      <c r="DS99" s="159"/>
      <c r="DT99" s="159"/>
      <c r="DU99" s="159"/>
      <c r="DV99" s="159"/>
      <c r="DW99" s="159"/>
      <c r="DX99" s="159"/>
      <c r="DY99" s="159"/>
      <c r="DZ99" s="159"/>
      <c r="EA99" s="159"/>
      <c r="EB99" s="159"/>
      <c r="EC99" s="159"/>
      <c r="ED99" s="159"/>
      <c r="EE99" s="159"/>
      <c r="EF99" s="159"/>
      <c r="EG99" s="159"/>
      <c r="EH99" s="159"/>
      <c r="EI99" s="159"/>
      <c r="EJ99" s="159"/>
      <c r="EK99" s="159"/>
      <c r="EL99" s="159"/>
      <c r="EM99" s="159"/>
      <c r="EN99" s="159"/>
      <c r="EO99" s="159"/>
      <c r="EP99" s="159"/>
      <c r="EQ99" s="159"/>
      <c r="ER99" s="159"/>
      <c r="ES99" s="159"/>
      <c r="ET99" s="159"/>
      <c r="EU99" s="159"/>
      <c r="EV99" s="159"/>
      <c r="EW99" s="159"/>
      <c r="EX99" s="159"/>
      <c r="EY99" s="159"/>
      <c r="EZ99" s="159"/>
      <c r="FA99" s="159"/>
      <c r="FB99" s="159"/>
      <c r="FC99" s="159"/>
      <c r="FD99" s="159"/>
      <c r="FE99" s="159"/>
      <c r="FF99" s="159"/>
      <c r="FG99" s="159"/>
      <c r="FH99" s="159"/>
      <c r="FI99" s="159"/>
      <c r="FJ99" s="159"/>
      <c r="FK99" s="159"/>
      <c r="FL99" s="159"/>
      <c r="FM99" s="159"/>
      <c r="FN99" s="159"/>
      <c r="FO99" s="159"/>
      <c r="FP99" s="159"/>
      <c r="FQ99" s="159"/>
      <c r="FR99" s="159"/>
      <c r="FS99" s="159"/>
      <c r="FT99" s="159"/>
      <c r="FU99" s="159"/>
      <c r="FV99" s="159"/>
      <c r="FW99" s="159"/>
      <c r="FX99" s="159"/>
      <c r="FY99" s="159"/>
      <c r="FZ99" s="159"/>
      <c r="GA99" s="159"/>
      <c r="GB99" s="159"/>
      <c r="GC99" s="159"/>
      <c r="GD99" s="159"/>
      <c r="GE99" s="160"/>
      <c r="GF99" s="160"/>
      <c r="GG99" s="160"/>
      <c r="GH99" s="160"/>
      <c r="GI99" s="160"/>
      <c r="GJ99" s="160"/>
      <c r="GK99" s="160"/>
      <c r="GL99" s="160"/>
      <c r="GM99" s="160"/>
      <c r="GN99" s="160"/>
      <c r="GO99" s="160"/>
      <c r="GP99" s="160"/>
      <c r="GQ99" s="160"/>
      <c r="GR99" s="160"/>
      <c r="GS99" s="160"/>
      <c r="GT99" s="160"/>
      <c r="GU99" s="160"/>
      <c r="GV99" s="160"/>
      <c r="GW99" s="160"/>
      <c r="GX99" s="160"/>
      <c r="GY99" s="160"/>
      <c r="GZ99" s="160"/>
      <c r="HA99" s="160"/>
      <c r="HB99" s="160"/>
      <c r="HC99" s="160"/>
      <c r="HD99" s="160"/>
      <c r="HE99" s="160"/>
      <c r="HF99" s="160"/>
      <c r="HG99" s="160"/>
      <c r="HH99" s="160"/>
      <c r="HI99" s="160"/>
      <c r="HJ99" s="160"/>
      <c r="HK99" s="160"/>
      <c r="HL99" s="160"/>
      <c r="HM99" s="160"/>
      <c r="HN99" s="160"/>
      <c r="HO99" s="160"/>
      <c r="HP99" s="160"/>
      <c r="HQ99" s="160"/>
      <c r="HR99" s="160"/>
      <c r="HS99" s="160"/>
      <c r="HT99" s="160"/>
      <c r="HU99" s="160"/>
      <c r="HV99" s="160"/>
      <c r="HW99" s="160"/>
      <c r="HX99" s="160"/>
      <c r="HY99" s="160"/>
      <c r="HZ99" s="160"/>
      <c r="IA99" s="160"/>
      <c r="IB99" s="160"/>
      <c r="IC99" s="160"/>
      <c r="ID99" s="160"/>
      <c r="IE99" s="160"/>
      <c r="IF99" s="160"/>
      <c r="IG99" s="160"/>
      <c r="IH99" s="160"/>
      <c r="II99" s="160"/>
      <c r="IJ99" s="160"/>
      <c r="IK99" s="160"/>
      <c r="IL99" s="160"/>
      <c r="IM99" s="160"/>
      <c r="IN99" s="160"/>
      <c r="IO99" s="160"/>
      <c r="IP99" s="160"/>
      <c r="IQ99" s="160"/>
      <c r="IR99" s="160"/>
      <c r="IS99" s="160"/>
      <c r="IT99" s="160"/>
      <c r="IU99" s="160"/>
      <c r="IV99" s="160"/>
    </row>
    <row r="100" spans="1:256" s="167" customFormat="1" ht="12.6" customHeight="1">
      <c r="A100" s="168">
        <v>4</v>
      </c>
      <c r="B100" s="169" t="s">
        <v>865</v>
      </c>
      <c r="C100" s="170">
        <f t="shared" si="27"/>
        <v>0</v>
      </c>
      <c r="D100" s="175">
        <f t="shared" ref="D100:P100" si="29">SUM(D101:D105)</f>
        <v>0</v>
      </c>
      <c r="E100" s="175">
        <f t="shared" si="29"/>
        <v>0</v>
      </c>
      <c r="F100" s="175">
        <f t="shared" si="29"/>
        <v>0</v>
      </c>
      <c r="G100" s="175">
        <f t="shared" si="29"/>
        <v>0</v>
      </c>
      <c r="H100" s="175">
        <f t="shared" si="29"/>
        <v>0</v>
      </c>
      <c r="I100" s="175">
        <f t="shared" si="29"/>
        <v>0</v>
      </c>
      <c r="J100" s="175">
        <f t="shared" si="29"/>
        <v>0</v>
      </c>
      <c r="K100" s="175">
        <f t="shared" si="29"/>
        <v>0</v>
      </c>
      <c r="L100" s="175">
        <f t="shared" si="29"/>
        <v>0</v>
      </c>
      <c r="M100" s="175">
        <f t="shared" si="29"/>
        <v>0</v>
      </c>
      <c r="N100" s="175">
        <f t="shared" si="29"/>
        <v>0</v>
      </c>
      <c r="O100" s="175">
        <f t="shared" si="29"/>
        <v>0</v>
      </c>
      <c r="P100" s="175">
        <f t="shared" si="29"/>
        <v>0</v>
      </c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2"/>
      <c r="BU100" s="132"/>
      <c r="BV100" s="132"/>
      <c r="BW100" s="132"/>
      <c r="BX100" s="132"/>
      <c r="BY100" s="132"/>
      <c r="BZ100" s="132"/>
      <c r="CA100" s="132"/>
      <c r="CB100" s="132"/>
      <c r="CC100" s="132"/>
      <c r="CD100" s="132"/>
      <c r="CE100" s="132"/>
      <c r="CF100" s="132"/>
      <c r="CG100" s="132"/>
      <c r="CH100" s="132"/>
      <c r="CI100" s="132"/>
      <c r="CJ100" s="132"/>
      <c r="CK100" s="132"/>
      <c r="CL100" s="132"/>
      <c r="CM100" s="132"/>
      <c r="CN100" s="132"/>
      <c r="CO100" s="132"/>
      <c r="CP100" s="132"/>
      <c r="CQ100" s="132"/>
      <c r="CR100" s="132"/>
      <c r="CS100" s="132"/>
      <c r="CT100" s="132"/>
      <c r="CU100" s="132"/>
      <c r="CV100" s="132"/>
      <c r="CW100" s="132"/>
      <c r="CX100" s="132"/>
      <c r="CY100" s="132"/>
      <c r="CZ100" s="132"/>
      <c r="DA100" s="132"/>
      <c r="DB100" s="132"/>
      <c r="DC100" s="132"/>
      <c r="DD100" s="132"/>
      <c r="DE100" s="132"/>
      <c r="DF100" s="132"/>
      <c r="DG100" s="132"/>
      <c r="DH100" s="132"/>
      <c r="DI100" s="132"/>
      <c r="DJ100" s="132"/>
      <c r="DK100" s="132"/>
      <c r="DL100" s="132"/>
      <c r="DM100" s="132"/>
      <c r="DN100" s="132"/>
      <c r="DO100" s="132"/>
      <c r="DP100" s="132"/>
      <c r="DQ100" s="132"/>
      <c r="DR100" s="132"/>
      <c r="DS100" s="132"/>
      <c r="DT100" s="132"/>
      <c r="DU100" s="132"/>
      <c r="DV100" s="132"/>
      <c r="DW100" s="132"/>
      <c r="DX100" s="132"/>
      <c r="DY100" s="132"/>
      <c r="DZ100" s="132"/>
      <c r="EA100" s="132"/>
      <c r="EB100" s="132"/>
      <c r="EC100" s="132"/>
      <c r="ED100" s="132"/>
      <c r="EE100" s="132"/>
      <c r="EF100" s="132"/>
      <c r="EG100" s="132"/>
      <c r="EH100" s="132"/>
      <c r="EI100" s="132"/>
      <c r="EJ100" s="132"/>
      <c r="EK100" s="132"/>
      <c r="EL100" s="132"/>
      <c r="EM100" s="132"/>
      <c r="EN100" s="132"/>
      <c r="EO100" s="132"/>
      <c r="EP100" s="132"/>
      <c r="EQ100" s="132"/>
      <c r="ER100" s="132"/>
      <c r="ES100" s="132"/>
      <c r="ET100" s="132"/>
      <c r="EU100" s="132"/>
      <c r="EV100" s="132"/>
      <c r="EW100" s="132"/>
      <c r="EX100" s="132"/>
      <c r="EY100" s="132"/>
      <c r="EZ100" s="132"/>
      <c r="FA100" s="132"/>
      <c r="FB100" s="132"/>
      <c r="FC100" s="132"/>
      <c r="FD100" s="132"/>
      <c r="FE100" s="132"/>
      <c r="FF100" s="132"/>
      <c r="FG100" s="132"/>
      <c r="FH100" s="132"/>
      <c r="FI100" s="132"/>
      <c r="FJ100" s="132"/>
      <c r="FK100" s="132"/>
      <c r="FL100" s="132"/>
      <c r="FM100" s="132"/>
      <c r="FN100" s="132"/>
      <c r="FO100" s="132"/>
      <c r="FP100" s="132"/>
      <c r="FQ100" s="132"/>
      <c r="FR100" s="132"/>
      <c r="FS100" s="132"/>
      <c r="FT100" s="132"/>
      <c r="FU100" s="132"/>
      <c r="FV100" s="132"/>
      <c r="FW100" s="132"/>
      <c r="FX100" s="132"/>
      <c r="FY100" s="132"/>
      <c r="FZ100" s="132"/>
      <c r="GA100" s="132"/>
      <c r="GB100" s="132"/>
      <c r="GC100" s="132"/>
      <c r="GD100" s="132"/>
      <c r="GE100" s="133"/>
      <c r="GF100" s="133"/>
      <c r="GG100" s="133"/>
      <c r="GH100" s="133"/>
      <c r="GI100" s="133"/>
      <c r="GJ100" s="133"/>
      <c r="GK100" s="133"/>
      <c r="GL100" s="133"/>
      <c r="GM100" s="133"/>
      <c r="GN100" s="133"/>
      <c r="GO100" s="133"/>
      <c r="GP100" s="133"/>
      <c r="GQ100" s="133"/>
      <c r="GR100" s="133"/>
      <c r="GS100" s="133"/>
      <c r="GT100" s="133"/>
      <c r="GU100" s="133"/>
      <c r="GV100" s="133"/>
      <c r="GW100" s="133"/>
      <c r="GX100" s="133"/>
      <c r="GY100" s="133"/>
      <c r="GZ100" s="133"/>
      <c r="HA100" s="133"/>
      <c r="HB100" s="133"/>
      <c r="HC100" s="133"/>
      <c r="HD100" s="133"/>
      <c r="HE100" s="133"/>
      <c r="HF100" s="133"/>
      <c r="HG100" s="133"/>
      <c r="HH100" s="133"/>
      <c r="HI100" s="133"/>
      <c r="HJ100" s="133"/>
      <c r="HK100" s="133"/>
      <c r="HL100" s="133"/>
      <c r="HM100" s="133"/>
      <c r="HN100" s="133"/>
      <c r="HO100" s="133"/>
      <c r="HP100" s="133"/>
      <c r="HQ100" s="133"/>
      <c r="HR100" s="133"/>
      <c r="HS100" s="133"/>
      <c r="HT100" s="133"/>
      <c r="HU100" s="133"/>
      <c r="HV100" s="133"/>
      <c r="HW100" s="133"/>
      <c r="HX100" s="133"/>
      <c r="HY100" s="133"/>
      <c r="HZ100" s="133"/>
      <c r="IA100" s="133"/>
      <c r="IB100" s="133"/>
      <c r="IC100" s="133"/>
      <c r="ID100" s="133"/>
      <c r="IE100" s="133"/>
      <c r="IF100" s="133"/>
      <c r="IG100" s="133"/>
      <c r="IH100" s="133"/>
      <c r="II100" s="133"/>
      <c r="IJ100" s="133"/>
      <c r="IK100" s="133"/>
      <c r="IL100" s="133"/>
      <c r="IM100" s="133"/>
      <c r="IN100" s="133"/>
      <c r="IO100" s="133"/>
      <c r="IP100" s="133"/>
      <c r="IQ100" s="133"/>
      <c r="IR100" s="133"/>
      <c r="IS100" s="133"/>
      <c r="IT100" s="133"/>
      <c r="IU100" s="133"/>
      <c r="IV100" s="133"/>
    </row>
    <row r="101" spans="1:256" s="151" customFormat="1" ht="12.6" customHeight="1">
      <c r="A101" s="145">
        <v>41</v>
      </c>
      <c r="B101" s="146" t="s">
        <v>866</v>
      </c>
      <c r="C101" s="174">
        <f t="shared" si="27"/>
        <v>0</v>
      </c>
      <c r="D101" s="154">
        <f>SUMIFS('Plan rashoda za unos u SAP'!$K$3:$K$501,'Plan rashoda za unos u SAP'!$C$3:$C$501,"=11",'Plan rashoda za unos u SAP'!$N$3:$N$501,"=41")</f>
        <v>0</v>
      </c>
      <c r="E101" s="154">
        <f>SUMIFS('Plan rashoda za unos u SAP'!$K$3:$K$501,'Plan rashoda za unos u SAP'!$C$3:$C$501,"=12",'Plan rashoda za unos u SAP'!$N$3:$N$501,"=41")</f>
        <v>0</v>
      </c>
      <c r="F101" s="154">
        <f>SUMIFS('Plan rashoda za unos u SAP'!$K$3:$K$501,'Plan rashoda za unos u SAP'!$C$3:$C$501,"=31",'Plan rashoda za unos u SAP'!$N$3:$N$501,"=41")</f>
        <v>0</v>
      </c>
      <c r="G101" s="154">
        <f>SUMIFS('Plan rashoda za unos u SAP'!$K$3:$K$501,'Plan rashoda za unos u SAP'!$C$3:$C$501,"=43",'Plan rashoda za unos u SAP'!$N$3:$N$501,"=41")</f>
        <v>0</v>
      </c>
      <c r="H101" s="154">
        <f>SUMIFS('Plan rashoda za unos u SAP'!$K$3:$K$501,'Plan rashoda za unos u SAP'!$C$3:$C$501,"=51",'Plan rashoda za unos u SAP'!$N$3:$N$501,"=41")</f>
        <v>0</v>
      </c>
      <c r="I101" s="154">
        <f>SUMIFS('Plan rashoda za unos u SAP'!$K$3:$K$501,'Plan rashoda za unos u SAP'!$C$3:$C$501,"=52",'Plan rashoda za unos u SAP'!$N$3:$N$501,"=41")</f>
        <v>0</v>
      </c>
      <c r="J101" s="154">
        <f>SUMIFS('Plan rashoda za unos u SAP'!$K$3:$K$501,'Plan rashoda za unos u SAP'!$C$3:$C$501,"=559",'Plan rashoda za unos u SAP'!$N$3:$N$501,"=41")</f>
        <v>0</v>
      </c>
      <c r="K101" s="154">
        <f>SUMIFS('Plan rashoda za unos u SAP'!$K$3:$K$501,'Plan rashoda za unos u SAP'!$C$3:$C$501,"=561",'Plan rashoda za unos u SAP'!$N$3:$N$501,"=41")</f>
        <v>0</v>
      </c>
      <c r="L101" s="154">
        <f>SUMIFS('Plan rashoda za unos u SAP'!$K$3:$K$501,'Plan rashoda za unos u SAP'!$C$3:$C$501,"=563",'Plan rashoda za unos u SAP'!$N$3:$N$501,"=41")</f>
        <v>0</v>
      </c>
      <c r="M101" s="154">
        <f>SUMIFS('Plan rashoda za unos u SAP'!$K$3:$K$501,'Plan rashoda za unos u SAP'!$C$3:$C$501,"=61",'Plan rashoda za unos u SAP'!$N$3:$N$501,"=41")</f>
        <v>0</v>
      </c>
      <c r="N101" s="154">
        <f>SUMIFS('Plan rashoda za unos u SAP'!$K$3:$K$501,'Plan rashoda za unos u SAP'!$C$3:$C$501,"=63",'Plan rashoda za unos u SAP'!$N$3:$N$501,"=41")</f>
        <v>0</v>
      </c>
      <c r="O101" s="154">
        <f>SUMIFS('Plan rashoda za unos u SAP'!$K$3:$K$501,'Plan rashoda za unos u SAP'!$C$3:$C$501,"=71",'Plan rashoda za unos u SAP'!$N$3:$N$501,"=41")</f>
        <v>0</v>
      </c>
      <c r="P101" s="154">
        <f>SUMIFS('Plan rashoda za unos u SAP'!$K$3:$K$501,'Plan rashoda za unos u SAP'!$C$3:$C$501,"=81",'Plan rashoda za unos u SAP'!$N$3:$N$501,"=41")</f>
        <v>0</v>
      </c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59"/>
      <c r="BN101" s="159"/>
      <c r="BO101" s="159"/>
      <c r="BP101" s="159"/>
      <c r="BQ101" s="159"/>
      <c r="BR101" s="159"/>
      <c r="BS101" s="159"/>
      <c r="BT101" s="159"/>
      <c r="BU101" s="159"/>
      <c r="BV101" s="159"/>
      <c r="BW101" s="159"/>
      <c r="BX101" s="159"/>
      <c r="BY101" s="159"/>
      <c r="BZ101" s="159"/>
      <c r="CA101" s="159"/>
      <c r="CB101" s="159"/>
      <c r="CC101" s="159"/>
      <c r="CD101" s="159"/>
      <c r="CE101" s="159"/>
      <c r="CF101" s="159"/>
      <c r="CG101" s="159"/>
      <c r="CH101" s="159"/>
      <c r="CI101" s="159"/>
      <c r="CJ101" s="159"/>
      <c r="CK101" s="159"/>
      <c r="CL101" s="159"/>
      <c r="CM101" s="159"/>
      <c r="CN101" s="159"/>
      <c r="CO101" s="159"/>
      <c r="CP101" s="159"/>
      <c r="CQ101" s="159"/>
      <c r="CR101" s="159"/>
      <c r="CS101" s="159"/>
      <c r="CT101" s="159"/>
      <c r="CU101" s="159"/>
      <c r="CV101" s="159"/>
      <c r="CW101" s="159"/>
      <c r="CX101" s="159"/>
      <c r="CY101" s="159"/>
      <c r="CZ101" s="159"/>
      <c r="DA101" s="159"/>
      <c r="DB101" s="159"/>
      <c r="DC101" s="159"/>
      <c r="DD101" s="159"/>
      <c r="DE101" s="159"/>
      <c r="DF101" s="159"/>
      <c r="DG101" s="159"/>
      <c r="DH101" s="159"/>
      <c r="DI101" s="159"/>
      <c r="DJ101" s="159"/>
      <c r="DK101" s="159"/>
      <c r="DL101" s="159"/>
      <c r="DM101" s="159"/>
      <c r="DN101" s="159"/>
      <c r="DO101" s="159"/>
      <c r="DP101" s="159"/>
      <c r="DQ101" s="159"/>
      <c r="DR101" s="159"/>
      <c r="DS101" s="159"/>
      <c r="DT101" s="159"/>
      <c r="DU101" s="159"/>
      <c r="DV101" s="159"/>
      <c r="DW101" s="159"/>
      <c r="DX101" s="159"/>
      <c r="DY101" s="159"/>
      <c r="DZ101" s="159"/>
      <c r="EA101" s="159"/>
      <c r="EB101" s="159"/>
      <c r="EC101" s="159"/>
      <c r="ED101" s="159"/>
      <c r="EE101" s="159"/>
      <c r="EF101" s="159"/>
      <c r="EG101" s="159"/>
      <c r="EH101" s="159"/>
      <c r="EI101" s="159"/>
      <c r="EJ101" s="159"/>
      <c r="EK101" s="159"/>
      <c r="EL101" s="159"/>
      <c r="EM101" s="159"/>
      <c r="EN101" s="159"/>
      <c r="EO101" s="159"/>
      <c r="EP101" s="159"/>
      <c r="EQ101" s="159"/>
      <c r="ER101" s="159"/>
      <c r="ES101" s="159"/>
      <c r="ET101" s="159"/>
      <c r="EU101" s="159"/>
      <c r="EV101" s="159"/>
      <c r="EW101" s="159"/>
      <c r="EX101" s="159"/>
      <c r="EY101" s="159"/>
      <c r="EZ101" s="159"/>
      <c r="FA101" s="159"/>
      <c r="FB101" s="159"/>
      <c r="FC101" s="159"/>
      <c r="FD101" s="159"/>
      <c r="FE101" s="159"/>
      <c r="FF101" s="159"/>
      <c r="FG101" s="159"/>
      <c r="FH101" s="159"/>
      <c r="FI101" s="159"/>
      <c r="FJ101" s="159"/>
      <c r="FK101" s="159"/>
      <c r="FL101" s="159"/>
      <c r="FM101" s="159"/>
      <c r="FN101" s="159"/>
      <c r="FO101" s="159"/>
      <c r="FP101" s="159"/>
      <c r="FQ101" s="159"/>
      <c r="FR101" s="159"/>
      <c r="FS101" s="159"/>
      <c r="FT101" s="159"/>
      <c r="FU101" s="159"/>
      <c r="FV101" s="159"/>
      <c r="FW101" s="159"/>
      <c r="FX101" s="159"/>
      <c r="FY101" s="159"/>
      <c r="FZ101" s="159"/>
      <c r="GA101" s="159"/>
      <c r="GB101" s="159"/>
      <c r="GC101" s="159"/>
      <c r="GD101" s="159"/>
      <c r="GE101" s="160"/>
      <c r="GF101" s="160"/>
      <c r="GG101" s="160"/>
      <c r="GH101" s="160"/>
      <c r="GI101" s="160"/>
      <c r="GJ101" s="160"/>
      <c r="GK101" s="160"/>
      <c r="GL101" s="160"/>
      <c r="GM101" s="160"/>
      <c r="GN101" s="160"/>
      <c r="GO101" s="160"/>
      <c r="GP101" s="160"/>
      <c r="GQ101" s="160"/>
      <c r="GR101" s="160"/>
      <c r="GS101" s="160"/>
      <c r="GT101" s="160"/>
      <c r="GU101" s="160"/>
      <c r="GV101" s="160"/>
      <c r="GW101" s="160"/>
      <c r="GX101" s="160"/>
      <c r="GY101" s="160"/>
      <c r="GZ101" s="160"/>
      <c r="HA101" s="160"/>
      <c r="HB101" s="160"/>
      <c r="HC101" s="160"/>
      <c r="HD101" s="160"/>
      <c r="HE101" s="160"/>
      <c r="HF101" s="160"/>
      <c r="HG101" s="160"/>
      <c r="HH101" s="160"/>
      <c r="HI101" s="160"/>
      <c r="HJ101" s="160"/>
      <c r="HK101" s="160"/>
      <c r="HL101" s="160"/>
      <c r="HM101" s="160"/>
      <c r="HN101" s="160"/>
      <c r="HO101" s="160"/>
      <c r="HP101" s="160"/>
      <c r="HQ101" s="160"/>
      <c r="HR101" s="160"/>
      <c r="HS101" s="160"/>
      <c r="HT101" s="160"/>
      <c r="HU101" s="160"/>
      <c r="HV101" s="160"/>
      <c r="HW101" s="160"/>
      <c r="HX101" s="160"/>
      <c r="HY101" s="160"/>
      <c r="HZ101" s="160"/>
      <c r="IA101" s="160"/>
      <c r="IB101" s="160"/>
      <c r="IC101" s="160"/>
      <c r="ID101" s="160"/>
      <c r="IE101" s="160"/>
      <c r="IF101" s="160"/>
      <c r="IG101" s="160"/>
      <c r="IH101" s="160"/>
      <c r="II101" s="160"/>
      <c r="IJ101" s="160"/>
      <c r="IK101" s="160"/>
      <c r="IL101" s="160"/>
      <c r="IM101" s="160"/>
      <c r="IN101" s="160"/>
      <c r="IO101" s="160"/>
      <c r="IP101" s="160"/>
      <c r="IQ101" s="160"/>
      <c r="IR101" s="160"/>
      <c r="IS101" s="160"/>
      <c r="IT101" s="160"/>
      <c r="IU101" s="160"/>
      <c r="IV101" s="160"/>
    </row>
    <row r="102" spans="1:256" s="166" customFormat="1" ht="12.6" customHeight="1">
      <c r="A102" s="157">
        <v>42</v>
      </c>
      <c r="B102" s="158" t="s">
        <v>869</v>
      </c>
      <c r="C102" s="174">
        <f t="shared" si="27"/>
        <v>0</v>
      </c>
      <c r="D102" s="154">
        <f>SUMIFS('Plan rashoda za unos u SAP'!$K$3:$K$501,'Plan rashoda za unos u SAP'!$C$3:$C$501,"=11",'Plan rashoda za unos u SAP'!$N$3:$N$501,"=42")</f>
        <v>0</v>
      </c>
      <c r="E102" s="154">
        <f>SUMIFS('Plan rashoda za unos u SAP'!$K$3:$K$501,'Plan rashoda za unos u SAP'!$C$3:$C$501,"=12",'Plan rashoda za unos u SAP'!$N$3:$N$501,"=42")</f>
        <v>0</v>
      </c>
      <c r="F102" s="154">
        <f>SUMIFS('Plan rashoda za unos u SAP'!$K$3:$K$501,'Plan rashoda za unos u SAP'!$C$3:$C$501,"=31",'Plan rashoda za unos u SAP'!$N$3:$N$501,"=42")</f>
        <v>0</v>
      </c>
      <c r="G102" s="154">
        <f>SUMIFS('Plan rashoda za unos u SAP'!$K$3:$K$501,'Plan rashoda za unos u SAP'!$C$3:$C$501,"=43",'Plan rashoda za unos u SAP'!$N$3:$N$501,"=42")</f>
        <v>0</v>
      </c>
      <c r="H102" s="154">
        <f>SUMIFS('Plan rashoda za unos u SAP'!$K$3:$K$501,'Plan rashoda za unos u SAP'!$C$3:$C$501,"=51",'Plan rashoda za unos u SAP'!$N$3:$N$501,"=42")</f>
        <v>0</v>
      </c>
      <c r="I102" s="154">
        <f>SUMIFS('Plan rashoda za unos u SAP'!$K$3:$K$501,'Plan rashoda za unos u SAP'!$C$3:$C$501,"=52",'Plan rashoda za unos u SAP'!$N$3:$N$501,"=42")</f>
        <v>0</v>
      </c>
      <c r="J102" s="154">
        <f>SUMIFS('Plan rashoda za unos u SAP'!$K$3:$K$501,'Plan rashoda za unos u SAP'!$C$3:$C$501,"=559",'Plan rashoda za unos u SAP'!$N$3:$N$501,"=42")</f>
        <v>0</v>
      </c>
      <c r="K102" s="154">
        <f>SUMIFS('Plan rashoda za unos u SAP'!$K$3:$K$501,'Plan rashoda za unos u SAP'!$C$3:$C$501,"=561",'Plan rashoda za unos u SAP'!$N$3:$N$501,"=42")</f>
        <v>0</v>
      </c>
      <c r="L102" s="154">
        <f>SUMIFS('Plan rashoda za unos u SAP'!$K$3:$K$501,'Plan rashoda za unos u SAP'!$C$3:$C$501,"=563",'Plan rashoda za unos u SAP'!$N$3:$N$501,"=42")</f>
        <v>0</v>
      </c>
      <c r="M102" s="154">
        <f>SUMIFS('Plan rashoda za unos u SAP'!$K$3:$K$501,'Plan rashoda za unos u SAP'!$C$3:$C$501,"=61",'Plan rashoda za unos u SAP'!$N$3:$N$501,"=42")</f>
        <v>0</v>
      </c>
      <c r="N102" s="154">
        <f>SUMIFS('Plan rashoda za unos u SAP'!$K$3:$K$501,'Plan rashoda za unos u SAP'!$C$3:$C$501,"=63",'Plan rashoda za unos u SAP'!$N$3:$N$501,"=42")</f>
        <v>0</v>
      </c>
      <c r="O102" s="154">
        <f>SUMIFS('Plan rashoda za unos u SAP'!$K$3:$K$501,'Plan rashoda za unos u SAP'!$C$3:$C$501,"=71",'Plan rashoda za unos u SAP'!$N$3:$N$501,"=42")</f>
        <v>0</v>
      </c>
      <c r="P102" s="154">
        <f>SUMIFS('Plan rashoda za unos u SAP'!$K$3:$K$501,'Plan rashoda za unos u SAP'!$C$3:$C$501,"=81",'Plan rashoda za unos u SAP'!$N$3:$N$501,"=42")</f>
        <v>0</v>
      </c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  <c r="CA102" s="159"/>
      <c r="CB102" s="159"/>
      <c r="CC102" s="159"/>
      <c r="CD102" s="159"/>
      <c r="CE102" s="159"/>
      <c r="CF102" s="159"/>
      <c r="CG102" s="159"/>
      <c r="CH102" s="159"/>
      <c r="CI102" s="159"/>
      <c r="CJ102" s="159"/>
      <c r="CK102" s="159"/>
      <c r="CL102" s="159"/>
      <c r="CM102" s="159"/>
      <c r="CN102" s="159"/>
      <c r="CO102" s="159"/>
      <c r="CP102" s="159"/>
      <c r="CQ102" s="159"/>
      <c r="CR102" s="159"/>
      <c r="CS102" s="159"/>
      <c r="CT102" s="159"/>
      <c r="CU102" s="159"/>
      <c r="CV102" s="159"/>
      <c r="CW102" s="159"/>
      <c r="CX102" s="159"/>
      <c r="CY102" s="159"/>
      <c r="CZ102" s="159"/>
      <c r="DA102" s="159"/>
      <c r="DB102" s="159"/>
      <c r="DC102" s="159"/>
      <c r="DD102" s="159"/>
      <c r="DE102" s="159"/>
      <c r="DF102" s="159"/>
      <c r="DG102" s="159"/>
      <c r="DH102" s="159"/>
      <c r="DI102" s="159"/>
      <c r="DJ102" s="159"/>
      <c r="DK102" s="159"/>
      <c r="DL102" s="159"/>
      <c r="DM102" s="159"/>
      <c r="DN102" s="159"/>
      <c r="DO102" s="159"/>
      <c r="DP102" s="159"/>
      <c r="DQ102" s="159"/>
      <c r="DR102" s="159"/>
      <c r="DS102" s="159"/>
      <c r="DT102" s="159"/>
      <c r="DU102" s="159"/>
      <c r="DV102" s="159"/>
      <c r="DW102" s="159"/>
      <c r="DX102" s="159"/>
      <c r="DY102" s="159"/>
      <c r="DZ102" s="159"/>
      <c r="EA102" s="159"/>
      <c r="EB102" s="159"/>
      <c r="EC102" s="159"/>
      <c r="ED102" s="159"/>
      <c r="EE102" s="159"/>
      <c r="EF102" s="159"/>
      <c r="EG102" s="159"/>
      <c r="EH102" s="159"/>
      <c r="EI102" s="159"/>
      <c r="EJ102" s="159"/>
      <c r="EK102" s="159"/>
      <c r="EL102" s="159"/>
      <c r="EM102" s="159"/>
      <c r="EN102" s="159"/>
      <c r="EO102" s="159"/>
      <c r="EP102" s="159"/>
      <c r="EQ102" s="159"/>
      <c r="ER102" s="159"/>
      <c r="ES102" s="159"/>
      <c r="ET102" s="159"/>
      <c r="EU102" s="159"/>
      <c r="EV102" s="159"/>
      <c r="EW102" s="159"/>
      <c r="EX102" s="159"/>
      <c r="EY102" s="159"/>
      <c r="EZ102" s="159"/>
      <c r="FA102" s="159"/>
      <c r="FB102" s="159"/>
      <c r="FC102" s="159"/>
      <c r="FD102" s="159"/>
      <c r="FE102" s="159"/>
      <c r="FF102" s="159"/>
      <c r="FG102" s="159"/>
      <c r="FH102" s="159"/>
      <c r="FI102" s="159"/>
      <c r="FJ102" s="159"/>
      <c r="FK102" s="159"/>
      <c r="FL102" s="159"/>
      <c r="FM102" s="159"/>
      <c r="FN102" s="159"/>
      <c r="FO102" s="159"/>
      <c r="FP102" s="159"/>
      <c r="FQ102" s="159"/>
      <c r="FR102" s="159"/>
      <c r="FS102" s="159"/>
      <c r="FT102" s="159"/>
      <c r="FU102" s="159"/>
      <c r="FV102" s="159"/>
      <c r="FW102" s="159"/>
      <c r="FX102" s="159"/>
      <c r="FY102" s="159"/>
      <c r="FZ102" s="159"/>
      <c r="GA102" s="159"/>
      <c r="GB102" s="159"/>
      <c r="GC102" s="159"/>
      <c r="GD102" s="159"/>
      <c r="GE102" s="160"/>
      <c r="GF102" s="160"/>
      <c r="GG102" s="160"/>
      <c r="GH102" s="160"/>
      <c r="GI102" s="160"/>
      <c r="GJ102" s="160"/>
      <c r="GK102" s="160"/>
      <c r="GL102" s="160"/>
      <c r="GM102" s="160"/>
      <c r="GN102" s="160"/>
      <c r="GO102" s="160"/>
      <c r="GP102" s="160"/>
      <c r="GQ102" s="160"/>
      <c r="GR102" s="160"/>
      <c r="GS102" s="160"/>
      <c r="GT102" s="160"/>
      <c r="GU102" s="160"/>
      <c r="GV102" s="160"/>
      <c r="GW102" s="160"/>
      <c r="GX102" s="160"/>
      <c r="GY102" s="160"/>
      <c r="GZ102" s="160"/>
      <c r="HA102" s="160"/>
      <c r="HB102" s="160"/>
      <c r="HC102" s="160"/>
      <c r="HD102" s="160"/>
      <c r="HE102" s="160"/>
      <c r="HF102" s="160"/>
      <c r="HG102" s="160"/>
      <c r="HH102" s="160"/>
      <c r="HI102" s="160"/>
      <c r="HJ102" s="160"/>
      <c r="HK102" s="160"/>
      <c r="HL102" s="160"/>
      <c r="HM102" s="160"/>
      <c r="HN102" s="160"/>
      <c r="HO102" s="160"/>
      <c r="HP102" s="160"/>
      <c r="HQ102" s="160"/>
      <c r="HR102" s="160"/>
      <c r="HS102" s="160"/>
      <c r="HT102" s="160"/>
      <c r="HU102" s="160"/>
      <c r="HV102" s="160"/>
      <c r="HW102" s="160"/>
      <c r="HX102" s="160"/>
      <c r="HY102" s="160"/>
      <c r="HZ102" s="160"/>
      <c r="IA102" s="160"/>
      <c r="IB102" s="160"/>
      <c r="IC102" s="160"/>
      <c r="ID102" s="160"/>
      <c r="IE102" s="160"/>
      <c r="IF102" s="160"/>
      <c r="IG102" s="160"/>
      <c r="IH102" s="160"/>
      <c r="II102" s="160"/>
      <c r="IJ102" s="160"/>
      <c r="IK102" s="160"/>
      <c r="IL102" s="160"/>
      <c r="IM102" s="160"/>
      <c r="IN102" s="160"/>
      <c r="IO102" s="160"/>
      <c r="IP102" s="160"/>
      <c r="IQ102" s="160"/>
      <c r="IR102" s="160"/>
      <c r="IS102" s="160"/>
      <c r="IT102" s="160"/>
      <c r="IU102" s="160"/>
      <c r="IV102" s="160"/>
    </row>
    <row r="103" spans="1:256" s="151" customFormat="1" ht="12.6" customHeight="1">
      <c r="A103" s="145">
        <v>43</v>
      </c>
      <c r="B103" s="146" t="s">
        <v>876</v>
      </c>
      <c r="C103" s="174">
        <f t="shared" si="27"/>
        <v>0</v>
      </c>
      <c r="D103" s="154">
        <f>SUMIFS('Plan rashoda za unos u SAP'!$K$3:$K$501,'Plan rashoda za unos u SAP'!$C$3:$C$501,"=11",'Plan rashoda za unos u SAP'!$N$3:$N$501,"=43")</f>
        <v>0</v>
      </c>
      <c r="E103" s="154">
        <f>SUMIFS('Plan rashoda za unos u SAP'!$K$3:$K$501,'Plan rashoda za unos u SAP'!$C$3:$C$501,"=12",'Plan rashoda za unos u SAP'!$N$3:$N$501,"=43")</f>
        <v>0</v>
      </c>
      <c r="F103" s="154">
        <f>SUMIFS('Plan rashoda za unos u SAP'!$K$3:$K$501,'Plan rashoda za unos u SAP'!$C$3:$C$501,"=31",'Plan rashoda za unos u SAP'!$N$3:$N$501,"=43")</f>
        <v>0</v>
      </c>
      <c r="G103" s="154">
        <f>SUMIFS('Plan rashoda za unos u SAP'!$K$3:$K$501,'Plan rashoda za unos u SAP'!$C$3:$C$501,"=43",'Plan rashoda za unos u SAP'!$N$3:$N$501,"=43")</f>
        <v>0</v>
      </c>
      <c r="H103" s="154">
        <f>SUMIFS('Plan rashoda za unos u SAP'!$K$3:$K$501,'Plan rashoda za unos u SAP'!$C$3:$C$501,"=51",'Plan rashoda za unos u SAP'!$N$3:$N$501,"=43")</f>
        <v>0</v>
      </c>
      <c r="I103" s="154">
        <f>SUMIFS('Plan rashoda za unos u SAP'!$K$3:$K$501,'Plan rashoda za unos u SAP'!$C$3:$C$501,"=52",'Plan rashoda za unos u SAP'!$N$3:$N$501,"=43")</f>
        <v>0</v>
      </c>
      <c r="J103" s="154">
        <f>SUMIFS('Plan rashoda za unos u SAP'!$K$3:$K$501,'Plan rashoda za unos u SAP'!$C$3:$C$501,"=559",'Plan rashoda za unos u SAP'!$N$3:$N$501,"=43")</f>
        <v>0</v>
      </c>
      <c r="K103" s="154">
        <f>SUMIFS('Plan rashoda za unos u SAP'!$K$3:$K$501,'Plan rashoda za unos u SAP'!$C$3:$C$501,"=561",'Plan rashoda za unos u SAP'!$N$3:$N$501,"=43")</f>
        <v>0</v>
      </c>
      <c r="L103" s="154">
        <f>SUMIFS('Plan rashoda za unos u SAP'!$K$3:$K$501,'Plan rashoda za unos u SAP'!$C$3:$C$501,"=563",'Plan rashoda za unos u SAP'!$N$3:$N$501,"=43")</f>
        <v>0</v>
      </c>
      <c r="M103" s="154">
        <f>SUMIFS('Plan rashoda za unos u SAP'!$K$3:$K$501,'Plan rashoda za unos u SAP'!$C$3:$C$501,"=61",'Plan rashoda za unos u SAP'!$N$3:$N$501,"=43")</f>
        <v>0</v>
      </c>
      <c r="N103" s="154">
        <f>SUMIFS('Plan rashoda za unos u SAP'!$K$3:$K$501,'Plan rashoda za unos u SAP'!$C$3:$C$501,"=63",'Plan rashoda za unos u SAP'!$N$3:$N$501,"=43")</f>
        <v>0</v>
      </c>
      <c r="O103" s="154">
        <f>SUMIFS('Plan rashoda za unos u SAP'!$K$3:$K$501,'Plan rashoda za unos u SAP'!$C$3:$C$501,"=71",'Plan rashoda za unos u SAP'!$N$3:$N$501,"=43")</f>
        <v>0</v>
      </c>
      <c r="P103" s="154">
        <f>SUMIFS('Plan rashoda za unos u SAP'!$K$3:$K$501,'Plan rashoda za unos u SAP'!$C$3:$C$501,"=81",'Plan rashoda za unos u SAP'!$N$3:$N$501,"=43")</f>
        <v>0</v>
      </c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  <c r="BO103" s="149"/>
      <c r="BP103" s="149"/>
      <c r="BQ103" s="149"/>
      <c r="BR103" s="149"/>
      <c r="BS103" s="149"/>
      <c r="BT103" s="149"/>
      <c r="BU103" s="149"/>
      <c r="BV103" s="149"/>
      <c r="BW103" s="149"/>
      <c r="BX103" s="149"/>
      <c r="BY103" s="149"/>
      <c r="BZ103" s="149"/>
      <c r="CA103" s="149"/>
      <c r="CB103" s="149"/>
      <c r="CC103" s="149"/>
      <c r="CD103" s="149"/>
      <c r="CE103" s="149"/>
      <c r="CF103" s="149"/>
      <c r="CG103" s="149"/>
      <c r="CH103" s="149"/>
      <c r="CI103" s="149"/>
      <c r="CJ103" s="149"/>
      <c r="CK103" s="149"/>
      <c r="CL103" s="149"/>
      <c r="CM103" s="149"/>
      <c r="CN103" s="149"/>
      <c r="CO103" s="149"/>
      <c r="CP103" s="149"/>
      <c r="CQ103" s="149"/>
      <c r="CR103" s="149"/>
      <c r="CS103" s="149"/>
      <c r="CT103" s="149"/>
      <c r="CU103" s="149"/>
      <c r="CV103" s="149"/>
      <c r="CW103" s="149"/>
      <c r="CX103" s="149"/>
      <c r="CY103" s="149"/>
      <c r="CZ103" s="149"/>
      <c r="DA103" s="149"/>
      <c r="DB103" s="149"/>
      <c r="DC103" s="149"/>
      <c r="DD103" s="149"/>
      <c r="DE103" s="149"/>
      <c r="DF103" s="149"/>
      <c r="DG103" s="149"/>
      <c r="DH103" s="149"/>
      <c r="DI103" s="149"/>
      <c r="DJ103" s="149"/>
      <c r="DK103" s="149"/>
      <c r="DL103" s="149"/>
      <c r="DM103" s="149"/>
      <c r="DN103" s="149"/>
      <c r="DO103" s="149"/>
      <c r="DP103" s="149"/>
      <c r="DQ103" s="149"/>
      <c r="DR103" s="149"/>
      <c r="DS103" s="149"/>
      <c r="DT103" s="149"/>
      <c r="DU103" s="149"/>
      <c r="DV103" s="149"/>
      <c r="DW103" s="149"/>
      <c r="DX103" s="149"/>
      <c r="DY103" s="149"/>
      <c r="DZ103" s="149"/>
      <c r="EA103" s="149"/>
      <c r="EB103" s="149"/>
      <c r="EC103" s="149"/>
      <c r="ED103" s="149"/>
      <c r="EE103" s="149"/>
      <c r="EF103" s="149"/>
      <c r="EG103" s="149"/>
      <c r="EH103" s="149"/>
      <c r="EI103" s="149"/>
      <c r="EJ103" s="149"/>
      <c r="EK103" s="149"/>
      <c r="EL103" s="149"/>
      <c r="EM103" s="149"/>
      <c r="EN103" s="149"/>
      <c r="EO103" s="149"/>
      <c r="EP103" s="149"/>
      <c r="EQ103" s="149"/>
      <c r="ER103" s="149"/>
      <c r="ES103" s="149"/>
      <c r="ET103" s="149"/>
      <c r="EU103" s="149"/>
      <c r="EV103" s="149"/>
      <c r="EW103" s="149"/>
      <c r="EX103" s="149"/>
      <c r="EY103" s="149"/>
      <c r="EZ103" s="149"/>
      <c r="FA103" s="149"/>
      <c r="FB103" s="149"/>
      <c r="FC103" s="149"/>
      <c r="FD103" s="149"/>
      <c r="FE103" s="149"/>
      <c r="FF103" s="149"/>
      <c r="FG103" s="149"/>
      <c r="FH103" s="149"/>
      <c r="FI103" s="149"/>
      <c r="FJ103" s="149"/>
      <c r="FK103" s="149"/>
      <c r="FL103" s="149"/>
      <c r="FM103" s="149"/>
      <c r="FN103" s="149"/>
      <c r="FO103" s="149"/>
      <c r="FP103" s="149"/>
      <c r="FQ103" s="149"/>
      <c r="FR103" s="149"/>
      <c r="FS103" s="149"/>
      <c r="FT103" s="149"/>
      <c r="FU103" s="149"/>
      <c r="FV103" s="149"/>
      <c r="FW103" s="149"/>
      <c r="FX103" s="149"/>
      <c r="FY103" s="149"/>
      <c r="FZ103" s="149"/>
      <c r="GA103" s="149"/>
      <c r="GB103" s="149"/>
      <c r="GC103" s="149"/>
      <c r="GD103" s="149"/>
      <c r="GE103" s="150"/>
      <c r="GF103" s="150"/>
      <c r="GG103" s="150"/>
      <c r="GH103" s="150"/>
      <c r="GI103" s="150"/>
      <c r="GJ103" s="150"/>
      <c r="GK103" s="150"/>
      <c r="GL103" s="150"/>
      <c r="GM103" s="150"/>
      <c r="GN103" s="150"/>
      <c r="GO103" s="150"/>
      <c r="GP103" s="150"/>
      <c r="GQ103" s="150"/>
      <c r="GR103" s="150"/>
      <c r="GS103" s="150"/>
      <c r="GT103" s="150"/>
      <c r="GU103" s="150"/>
      <c r="GV103" s="150"/>
      <c r="GW103" s="150"/>
      <c r="GX103" s="150"/>
      <c r="GY103" s="150"/>
      <c r="GZ103" s="150"/>
      <c r="HA103" s="150"/>
      <c r="HB103" s="150"/>
      <c r="HC103" s="150"/>
      <c r="HD103" s="150"/>
      <c r="HE103" s="150"/>
      <c r="HF103" s="150"/>
      <c r="HG103" s="150"/>
      <c r="HH103" s="150"/>
      <c r="HI103" s="150"/>
      <c r="HJ103" s="150"/>
      <c r="HK103" s="150"/>
      <c r="HL103" s="150"/>
      <c r="HM103" s="150"/>
      <c r="HN103" s="150"/>
      <c r="HO103" s="150"/>
      <c r="HP103" s="150"/>
      <c r="HQ103" s="150"/>
      <c r="HR103" s="150"/>
      <c r="HS103" s="150"/>
      <c r="HT103" s="150"/>
      <c r="HU103" s="150"/>
      <c r="HV103" s="150"/>
      <c r="HW103" s="150"/>
      <c r="HX103" s="150"/>
      <c r="HY103" s="150"/>
      <c r="HZ103" s="150"/>
      <c r="IA103" s="150"/>
      <c r="IB103" s="150"/>
      <c r="IC103" s="150"/>
      <c r="ID103" s="150"/>
      <c r="IE103" s="150"/>
      <c r="IF103" s="150"/>
      <c r="IG103" s="150"/>
      <c r="IH103" s="150"/>
      <c r="II103" s="150"/>
      <c r="IJ103" s="150"/>
      <c r="IK103" s="150"/>
      <c r="IL103" s="150"/>
      <c r="IM103" s="150"/>
      <c r="IN103" s="150"/>
      <c r="IO103" s="150"/>
      <c r="IP103" s="150"/>
      <c r="IQ103" s="150"/>
      <c r="IR103" s="150"/>
      <c r="IS103" s="150"/>
      <c r="IT103" s="150"/>
      <c r="IU103" s="150"/>
      <c r="IV103" s="150"/>
    </row>
    <row r="104" spans="1:256" s="151" customFormat="1" ht="12.6" customHeight="1">
      <c r="A104" s="145">
        <v>44</v>
      </c>
      <c r="B104" s="146" t="s">
        <v>877</v>
      </c>
      <c r="C104" s="174">
        <f t="shared" si="27"/>
        <v>0</v>
      </c>
      <c r="D104" s="154">
        <f>SUMIFS('Plan rashoda za unos u SAP'!$K$3:$K$501,'Plan rashoda za unos u SAP'!$C$3:$C$501,"=11",'Plan rashoda za unos u SAP'!$N$3:$N$501,"=44")</f>
        <v>0</v>
      </c>
      <c r="E104" s="154">
        <f>SUMIFS('Plan rashoda za unos u SAP'!$K$3:$K$501,'Plan rashoda za unos u SAP'!$C$3:$C$501,"=12",'Plan rashoda za unos u SAP'!$N$3:$N$501,"=44")</f>
        <v>0</v>
      </c>
      <c r="F104" s="154">
        <f>SUMIFS('Plan rashoda za unos u SAP'!$K$3:$K$501,'Plan rashoda za unos u SAP'!$C$3:$C$501,"=31",'Plan rashoda za unos u SAP'!$N$3:$N$501,"=44")</f>
        <v>0</v>
      </c>
      <c r="G104" s="154">
        <f>SUMIFS('Plan rashoda za unos u SAP'!$K$3:$K$501,'Plan rashoda za unos u SAP'!$C$3:$C$501,"=43",'Plan rashoda za unos u SAP'!$N$3:$N$501,"=44")</f>
        <v>0</v>
      </c>
      <c r="H104" s="154">
        <f>SUMIFS('Plan rashoda za unos u SAP'!$K$3:$K$501,'Plan rashoda za unos u SAP'!$C$3:$C$501,"=51",'Plan rashoda za unos u SAP'!$N$3:$N$501,"=44")</f>
        <v>0</v>
      </c>
      <c r="I104" s="154">
        <f>SUMIFS('Plan rashoda za unos u SAP'!$K$3:$K$501,'Plan rashoda za unos u SAP'!$C$3:$C$501,"=52",'Plan rashoda za unos u SAP'!$N$3:$N$501,"=44")</f>
        <v>0</v>
      </c>
      <c r="J104" s="154">
        <f>SUMIFS('Plan rashoda za unos u SAP'!$K$3:$K$501,'Plan rashoda za unos u SAP'!$C$3:$C$501,"=559",'Plan rashoda za unos u SAP'!$N$3:$N$501,"=44")</f>
        <v>0</v>
      </c>
      <c r="K104" s="154">
        <f>SUMIFS('Plan rashoda za unos u SAP'!$K$3:$K$501,'Plan rashoda za unos u SAP'!$C$3:$C$501,"=561",'Plan rashoda za unos u SAP'!$N$3:$N$501,"=44")</f>
        <v>0</v>
      </c>
      <c r="L104" s="154">
        <f>SUMIFS('Plan rashoda za unos u SAP'!$K$3:$K$501,'Plan rashoda za unos u SAP'!$C$3:$C$501,"=563",'Plan rashoda za unos u SAP'!$N$3:$N$501,"=44")</f>
        <v>0</v>
      </c>
      <c r="M104" s="154">
        <f>SUMIFS('Plan rashoda za unos u SAP'!$K$3:$K$501,'Plan rashoda za unos u SAP'!$C$3:$C$501,"=61",'Plan rashoda za unos u SAP'!$N$3:$N$501,"=44")</f>
        <v>0</v>
      </c>
      <c r="N104" s="154">
        <f>SUMIFS('Plan rashoda za unos u SAP'!$K$3:$K$501,'Plan rashoda za unos u SAP'!$C$3:$C$501,"=63",'Plan rashoda za unos u SAP'!$N$3:$N$501,"=44")</f>
        <v>0</v>
      </c>
      <c r="O104" s="154">
        <f>SUMIFS('Plan rashoda za unos u SAP'!$K$3:$K$501,'Plan rashoda za unos u SAP'!$C$3:$C$501,"=71",'Plan rashoda za unos u SAP'!$N$3:$N$501,"=44")</f>
        <v>0</v>
      </c>
      <c r="P104" s="154">
        <f>SUMIFS('Plan rashoda za unos u SAP'!$K$3:$K$501,'Plan rashoda za unos u SAP'!$C$3:$C$501,"=81",'Plan rashoda za unos u SAP'!$N$3:$N$501,"=44")</f>
        <v>0</v>
      </c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/>
      <c r="BS104" s="149"/>
      <c r="BT104" s="149"/>
      <c r="BU104" s="149"/>
      <c r="BV104" s="149"/>
      <c r="BW104" s="149"/>
      <c r="BX104" s="149"/>
      <c r="BY104" s="149"/>
      <c r="BZ104" s="149"/>
      <c r="CA104" s="149"/>
      <c r="CB104" s="149"/>
      <c r="CC104" s="149"/>
      <c r="CD104" s="149"/>
      <c r="CE104" s="149"/>
      <c r="CF104" s="149"/>
      <c r="CG104" s="149"/>
      <c r="CH104" s="149"/>
      <c r="CI104" s="149"/>
      <c r="CJ104" s="149"/>
      <c r="CK104" s="149"/>
      <c r="CL104" s="149"/>
      <c r="CM104" s="149"/>
      <c r="CN104" s="149"/>
      <c r="CO104" s="149"/>
      <c r="CP104" s="149"/>
      <c r="CQ104" s="149"/>
      <c r="CR104" s="149"/>
      <c r="CS104" s="149"/>
      <c r="CT104" s="149"/>
      <c r="CU104" s="149"/>
      <c r="CV104" s="149"/>
      <c r="CW104" s="149"/>
      <c r="CX104" s="149"/>
      <c r="CY104" s="149"/>
      <c r="CZ104" s="149"/>
      <c r="DA104" s="149"/>
      <c r="DB104" s="149"/>
      <c r="DC104" s="149"/>
      <c r="DD104" s="149"/>
      <c r="DE104" s="149"/>
      <c r="DF104" s="149"/>
      <c r="DG104" s="149"/>
      <c r="DH104" s="149"/>
      <c r="DI104" s="149"/>
      <c r="DJ104" s="149"/>
      <c r="DK104" s="149"/>
      <c r="DL104" s="149"/>
      <c r="DM104" s="149"/>
      <c r="DN104" s="149"/>
      <c r="DO104" s="149"/>
      <c r="DP104" s="149"/>
      <c r="DQ104" s="149"/>
      <c r="DR104" s="149"/>
      <c r="DS104" s="149"/>
      <c r="DT104" s="149"/>
      <c r="DU104" s="149"/>
      <c r="DV104" s="149"/>
      <c r="DW104" s="149"/>
      <c r="DX104" s="149"/>
      <c r="DY104" s="149"/>
      <c r="DZ104" s="149"/>
      <c r="EA104" s="149"/>
      <c r="EB104" s="149"/>
      <c r="EC104" s="149"/>
      <c r="ED104" s="149"/>
      <c r="EE104" s="149"/>
      <c r="EF104" s="149"/>
      <c r="EG104" s="149"/>
      <c r="EH104" s="149"/>
      <c r="EI104" s="149"/>
      <c r="EJ104" s="149"/>
      <c r="EK104" s="149"/>
      <c r="EL104" s="149"/>
      <c r="EM104" s="149"/>
      <c r="EN104" s="149"/>
      <c r="EO104" s="149"/>
      <c r="EP104" s="149"/>
      <c r="EQ104" s="149"/>
      <c r="ER104" s="149"/>
      <c r="ES104" s="149"/>
      <c r="ET104" s="149"/>
      <c r="EU104" s="149"/>
      <c r="EV104" s="149"/>
      <c r="EW104" s="149"/>
      <c r="EX104" s="149"/>
      <c r="EY104" s="149"/>
      <c r="EZ104" s="149"/>
      <c r="FA104" s="149"/>
      <c r="FB104" s="149"/>
      <c r="FC104" s="149"/>
      <c r="FD104" s="149"/>
      <c r="FE104" s="149"/>
      <c r="FF104" s="149"/>
      <c r="FG104" s="149"/>
      <c r="FH104" s="149"/>
      <c r="FI104" s="149"/>
      <c r="FJ104" s="149"/>
      <c r="FK104" s="149"/>
      <c r="FL104" s="149"/>
      <c r="FM104" s="149"/>
      <c r="FN104" s="149"/>
      <c r="FO104" s="149"/>
      <c r="FP104" s="149"/>
      <c r="FQ104" s="149"/>
      <c r="FR104" s="149"/>
      <c r="FS104" s="149"/>
      <c r="FT104" s="149"/>
      <c r="FU104" s="149"/>
      <c r="FV104" s="149"/>
      <c r="FW104" s="149"/>
      <c r="FX104" s="149"/>
      <c r="FY104" s="149"/>
      <c r="FZ104" s="149"/>
      <c r="GA104" s="149"/>
      <c r="GB104" s="149"/>
      <c r="GC104" s="149"/>
      <c r="GD104" s="149"/>
      <c r="GE104" s="150"/>
      <c r="GF104" s="150"/>
      <c r="GG104" s="150"/>
      <c r="GH104" s="150"/>
      <c r="GI104" s="150"/>
      <c r="GJ104" s="150"/>
      <c r="GK104" s="150"/>
      <c r="GL104" s="150"/>
      <c r="GM104" s="150"/>
      <c r="GN104" s="150"/>
      <c r="GO104" s="150"/>
      <c r="GP104" s="150"/>
      <c r="GQ104" s="150"/>
      <c r="GR104" s="150"/>
      <c r="GS104" s="150"/>
      <c r="GT104" s="150"/>
      <c r="GU104" s="150"/>
      <c r="GV104" s="150"/>
      <c r="GW104" s="150"/>
      <c r="GX104" s="150"/>
      <c r="GY104" s="150"/>
      <c r="GZ104" s="150"/>
      <c r="HA104" s="150"/>
      <c r="HB104" s="150"/>
      <c r="HC104" s="150"/>
      <c r="HD104" s="150"/>
      <c r="HE104" s="150"/>
      <c r="HF104" s="150"/>
      <c r="HG104" s="150"/>
      <c r="HH104" s="150"/>
      <c r="HI104" s="150"/>
      <c r="HJ104" s="150"/>
      <c r="HK104" s="150"/>
      <c r="HL104" s="150"/>
      <c r="HM104" s="150"/>
      <c r="HN104" s="150"/>
      <c r="HO104" s="150"/>
      <c r="HP104" s="150"/>
      <c r="HQ104" s="150"/>
      <c r="HR104" s="150"/>
      <c r="HS104" s="150"/>
      <c r="HT104" s="150"/>
      <c r="HU104" s="150"/>
      <c r="HV104" s="150"/>
      <c r="HW104" s="150"/>
      <c r="HX104" s="150"/>
      <c r="HY104" s="150"/>
      <c r="HZ104" s="150"/>
      <c r="IA104" s="150"/>
      <c r="IB104" s="150"/>
      <c r="IC104" s="150"/>
      <c r="ID104" s="150"/>
      <c r="IE104" s="150"/>
      <c r="IF104" s="150"/>
      <c r="IG104" s="150"/>
      <c r="IH104" s="150"/>
      <c r="II104" s="150"/>
      <c r="IJ104" s="150"/>
      <c r="IK104" s="150"/>
      <c r="IL104" s="150"/>
      <c r="IM104" s="150"/>
      <c r="IN104" s="150"/>
      <c r="IO104" s="150"/>
      <c r="IP104" s="150"/>
      <c r="IQ104" s="150"/>
      <c r="IR104" s="150"/>
      <c r="IS104" s="150"/>
      <c r="IT104" s="150"/>
      <c r="IU104" s="150"/>
      <c r="IV104" s="150"/>
    </row>
    <row r="105" spans="1:256" s="166" customFormat="1" ht="12.6" customHeight="1">
      <c r="A105" s="157">
        <v>45</v>
      </c>
      <c r="B105" s="158" t="s">
        <v>879</v>
      </c>
      <c r="C105" s="174">
        <f t="shared" si="27"/>
        <v>0</v>
      </c>
      <c r="D105" s="154">
        <f>SUMIFS('Plan rashoda za unos u SAP'!$K$3:$K$501,'Plan rashoda za unos u SAP'!$C$3:$C$501,"=11",'Plan rashoda za unos u SAP'!$N$3:$N$501,"=45")</f>
        <v>0</v>
      </c>
      <c r="E105" s="154">
        <f>SUMIFS('Plan rashoda za unos u SAP'!$K$3:$K$501,'Plan rashoda za unos u SAP'!$C$3:$C$501,"=12",'Plan rashoda za unos u SAP'!$N$3:$N$501,"=45")</f>
        <v>0</v>
      </c>
      <c r="F105" s="154">
        <f>SUMIFS('Plan rashoda za unos u SAP'!$K$3:$K$501,'Plan rashoda za unos u SAP'!$C$3:$C$501,"=31",'Plan rashoda za unos u SAP'!$N$3:$N$501,"=45")</f>
        <v>0</v>
      </c>
      <c r="G105" s="154">
        <f>SUMIFS('Plan rashoda za unos u SAP'!$K$3:$K$501,'Plan rashoda za unos u SAP'!$C$3:$C$501,"=43",'Plan rashoda za unos u SAP'!$N$3:$N$501,"=45")</f>
        <v>0</v>
      </c>
      <c r="H105" s="154">
        <f>SUMIFS('Plan rashoda za unos u SAP'!$K$3:$K$501,'Plan rashoda za unos u SAP'!$C$3:$C$501,"=51",'Plan rashoda za unos u SAP'!$N$3:$N$501,"=45")</f>
        <v>0</v>
      </c>
      <c r="I105" s="154">
        <f>SUMIFS('Plan rashoda za unos u SAP'!$K$3:$K$501,'Plan rashoda za unos u SAP'!$C$3:$C$501,"=52",'Plan rashoda za unos u SAP'!$N$3:$N$501,"=45")</f>
        <v>0</v>
      </c>
      <c r="J105" s="154">
        <f>SUMIFS('Plan rashoda za unos u SAP'!$K$3:$K$501,'Plan rashoda za unos u SAP'!$C$3:$C$501,"=559",'Plan rashoda za unos u SAP'!$N$3:$N$501,"=45")</f>
        <v>0</v>
      </c>
      <c r="K105" s="154">
        <f>SUMIFS('Plan rashoda za unos u SAP'!$K$3:$K$501,'Plan rashoda za unos u SAP'!$C$3:$C$501,"=561",'Plan rashoda za unos u SAP'!$N$3:$N$501,"=45")</f>
        <v>0</v>
      </c>
      <c r="L105" s="154">
        <f>SUMIFS('Plan rashoda za unos u SAP'!$K$3:$K$501,'Plan rashoda za unos u SAP'!$C$3:$C$501,"=563",'Plan rashoda za unos u SAP'!$N$3:$N$501,"=45")</f>
        <v>0</v>
      </c>
      <c r="M105" s="154">
        <f>SUMIFS('Plan rashoda za unos u SAP'!$K$3:$K$501,'Plan rashoda za unos u SAP'!$C$3:$C$501,"=61",'Plan rashoda za unos u SAP'!$N$3:$N$501,"=45")</f>
        <v>0</v>
      </c>
      <c r="N105" s="154">
        <f>SUMIFS('Plan rashoda za unos u SAP'!$K$3:$K$501,'Plan rashoda za unos u SAP'!$C$3:$C$501,"=63",'Plan rashoda za unos u SAP'!$N$3:$N$501,"=45")</f>
        <v>0</v>
      </c>
      <c r="O105" s="154">
        <f>SUMIFS('Plan rashoda za unos u SAP'!$K$3:$K$501,'Plan rashoda za unos u SAP'!$C$3:$C$501,"=71",'Plan rashoda za unos u SAP'!$N$3:$N$501,"=45")</f>
        <v>0</v>
      </c>
      <c r="P105" s="154">
        <f>SUMIFS('Plan rashoda za unos u SAP'!$K$3:$K$501,'Plan rashoda za unos u SAP'!$C$3:$C$501,"=81",'Plan rashoda za unos u SAP'!$N$3:$N$501,"=45")</f>
        <v>0</v>
      </c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59"/>
      <c r="BO105" s="159"/>
      <c r="BP105" s="159"/>
      <c r="BQ105" s="159"/>
      <c r="BR105" s="159"/>
      <c r="BS105" s="159"/>
      <c r="BT105" s="159"/>
      <c r="BU105" s="159"/>
      <c r="BV105" s="159"/>
      <c r="BW105" s="159"/>
      <c r="BX105" s="159"/>
      <c r="BY105" s="159"/>
      <c r="BZ105" s="159"/>
      <c r="CA105" s="159"/>
      <c r="CB105" s="159"/>
      <c r="CC105" s="159"/>
      <c r="CD105" s="159"/>
      <c r="CE105" s="159"/>
      <c r="CF105" s="159"/>
      <c r="CG105" s="159"/>
      <c r="CH105" s="159"/>
      <c r="CI105" s="159"/>
      <c r="CJ105" s="159"/>
      <c r="CK105" s="159"/>
      <c r="CL105" s="159"/>
      <c r="CM105" s="159"/>
      <c r="CN105" s="159"/>
      <c r="CO105" s="159"/>
      <c r="CP105" s="159"/>
      <c r="CQ105" s="159"/>
      <c r="CR105" s="159"/>
      <c r="CS105" s="159"/>
      <c r="CT105" s="159"/>
      <c r="CU105" s="159"/>
      <c r="CV105" s="159"/>
      <c r="CW105" s="159"/>
      <c r="CX105" s="159"/>
      <c r="CY105" s="159"/>
      <c r="CZ105" s="159"/>
      <c r="DA105" s="159"/>
      <c r="DB105" s="159"/>
      <c r="DC105" s="159"/>
      <c r="DD105" s="159"/>
      <c r="DE105" s="159"/>
      <c r="DF105" s="159"/>
      <c r="DG105" s="159"/>
      <c r="DH105" s="159"/>
      <c r="DI105" s="159"/>
      <c r="DJ105" s="159"/>
      <c r="DK105" s="159"/>
      <c r="DL105" s="159"/>
      <c r="DM105" s="159"/>
      <c r="DN105" s="159"/>
      <c r="DO105" s="159"/>
      <c r="DP105" s="159"/>
      <c r="DQ105" s="159"/>
      <c r="DR105" s="159"/>
      <c r="DS105" s="159"/>
      <c r="DT105" s="159"/>
      <c r="DU105" s="159"/>
      <c r="DV105" s="159"/>
      <c r="DW105" s="159"/>
      <c r="DX105" s="159"/>
      <c r="DY105" s="159"/>
      <c r="DZ105" s="159"/>
      <c r="EA105" s="159"/>
      <c r="EB105" s="159"/>
      <c r="EC105" s="159"/>
      <c r="ED105" s="159"/>
      <c r="EE105" s="159"/>
      <c r="EF105" s="159"/>
      <c r="EG105" s="159"/>
      <c r="EH105" s="159"/>
      <c r="EI105" s="159"/>
      <c r="EJ105" s="159"/>
      <c r="EK105" s="159"/>
      <c r="EL105" s="159"/>
      <c r="EM105" s="159"/>
      <c r="EN105" s="159"/>
      <c r="EO105" s="159"/>
      <c r="EP105" s="159"/>
      <c r="EQ105" s="159"/>
      <c r="ER105" s="159"/>
      <c r="ES105" s="159"/>
      <c r="ET105" s="159"/>
      <c r="EU105" s="159"/>
      <c r="EV105" s="159"/>
      <c r="EW105" s="159"/>
      <c r="EX105" s="159"/>
      <c r="EY105" s="159"/>
      <c r="EZ105" s="159"/>
      <c r="FA105" s="159"/>
      <c r="FB105" s="159"/>
      <c r="FC105" s="159"/>
      <c r="FD105" s="159"/>
      <c r="FE105" s="159"/>
      <c r="FF105" s="159"/>
      <c r="FG105" s="159"/>
      <c r="FH105" s="159"/>
      <c r="FI105" s="159"/>
      <c r="FJ105" s="159"/>
      <c r="FK105" s="159"/>
      <c r="FL105" s="159"/>
      <c r="FM105" s="159"/>
      <c r="FN105" s="159"/>
      <c r="FO105" s="159"/>
      <c r="FP105" s="159"/>
      <c r="FQ105" s="159"/>
      <c r="FR105" s="159"/>
      <c r="FS105" s="159"/>
      <c r="FT105" s="159"/>
      <c r="FU105" s="159"/>
      <c r="FV105" s="159"/>
      <c r="FW105" s="159"/>
      <c r="FX105" s="159"/>
      <c r="FY105" s="159"/>
      <c r="FZ105" s="159"/>
      <c r="GA105" s="159"/>
      <c r="GB105" s="159"/>
      <c r="GC105" s="159"/>
      <c r="GD105" s="159"/>
      <c r="GE105" s="160"/>
      <c r="GF105" s="160"/>
      <c r="GG105" s="160"/>
      <c r="GH105" s="160"/>
      <c r="GI105" s="160"/>
      <c r="GJ105" s="160"/>
      <c r="GK105" s="160"/>
      <c r="GL105" s="160"/>
      <c r="GM105" s="160"/>
      <c r="GN105" s="160"/>
      <c r="GO105" s="160"/>
      <c r="GP105" s="160"/>
      <c r="GQ105" s="160"/>
      <c r="GR105" s="160"/>
      <c r="GS105" s="160"/>
      <c r="GT105" s="160"/>
      <c r="GU105" s="160"/>
      <c r="GV105" s="160"/>
      <c r="GW105" s="160"/>
      <c r="GX105" s="160"/>
      <c r="GY105" s="160"/>
      <c r="GZ105" s="160"/>
      <c r="HA105" s="160"/>
      <c r="HB105" s="160"/>
      <c r="HC105" s="160"/>
      <c r="HD105" s="160"/>
      <c r="HE105" s="160"/>
      <c r="HF105" s="160"/>
      <c r="HG105" s="160"/>
      <c r="HH105" s="160"/>
      <c r="HI105" s="160"/>
      <c r="HJ105" s="160"/>
      <c r="HK105" s="160"/>
      <c r="HL105" s="160"/>
      <c r="HM105" s="160"/>
      <c r="HN105" s="160"/>
      <c r="HO105" s="160"/>
      <c r="HP105" s="160"/>
      <c r="HQ105" s="160"/>
      <c r="HR105" s="160"/>
      <c r="HS105" s="160"/>
      <c r="HT105" s="160"/>
      <c r="HU105" s="160"/>
      <c r="HV105" s="160"/>
      <c r="HW105" s="160"/>
      <c r="HX105" s="160"/>
      <c r="HY105" s="160"/>
      <c r="HZ105" s="160"/>
      <c r="IA105" s="160"/>
      <c r="IB105" s="160"/>
      <c r="IC105" s="160"/>
      <c r="ID105" s="160"/>
      <c r="IE105" s="160"/>
      <c r="IF105" s="160"/>
      <c r="IG105" s="160"/>
      <c r="IH105" s="160"/>
      <c r="II105" s="160"/>
      <c r="IJ105" s="160"/>
      <c r="IK105" s="160"/>
      <c r="IL105" s="160"/>
      <c r="IM105" s="160"/>
      <c r="IN105" s="160"/>
      <c r="IO105" s="160"/>
      <c r="IP105" s="160"/>
      <c r="IQ105" s="160"/>
      <c r="IR105" s="160"/>
      <c r="IS105" s="160"/>
      <c r="IT105" s="160"/>
      <c r="IU105" s="160"/>
      <c r="IV105" s="160"/>
    </row>
    <row r="106" spans="1:256" s="144" customFormat="1" ht="12.6" customHeight="1">
      <c r="A106" s="140">
        <v>5</v>
      </c>
      <c r="B106" s="141" t="s">
        <v>109</v>
      </c>
      <c r="C106" s="170">
        <f t="shared" si="27"/>
        <v>0</v>
      </c>
      <c r="D106" s="143">
        <f t="shared" ref="D106:P106" si="30">SUM(D107:D108)</f>
        <v>0</v>
      </c>
      <c r="E106" s="143">
        <f t="shared" si="30"/>
        <v>0</v>
      </c>
      <c r="F106" s="143">
        <f t="shared" si="30"/>
        <v>0</v>
      </c>
      <c r="G106" s="143">
        <f t="shared" si="30"/>
        <v>0</v>
      </c>
      <c r="H106" s="143">
        <f t="shared" si="30"/>
        <v>0</v>
      </c>
      <c r="I106" s="143">
        <f t="shared" si="30"/>
        <v>0</v>
      </c>
      <c r="J106" s="143">
        <f t="shared" si="30"/>
        <v>0</v>
      </c>
      <c r="K106" s="143">
        <f t="shared" si="30"/>
        <v>0</v>
      </c>
      <c r="L106" s="143">
        <f t="shared" si="30"/>
        <v>0</v>
      </c>
      <c r="M106" s="143">
        <f t="shared" si="30"/>
        <v>0</v>
      </c>
      <c r="N106" s="143">
        <f t="shared" si="30"/>
        <v>0</v>
      </c>
      <c r="O106" s="143">
        <f t="shared" si="30"/>
        <v>0</v>
      </c>
      <c r="P106" s="143">
        <f t="shared" si="30"/>
        <v>0</v>
      </c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132"/>
      <c r="CQ106" s="132"/>
      <c r="CR106" s="132"/>
      <c r="CS106" s="132"/>
      <c r="CT106" s="132"/>
      <c r="CU106" s="132"/>
      <c r="CV106" s="132"/>
      <c r="CW106" s="132"/>
      <c r="CX106" s="132"/>
      <c r="CY106" s="132"/>
      <c r="CZ106" s="132"/>
      <c r="DA106" s="132"/>
      <c r="DB106" s="132"/>
      <c r="DC106" s="132"/>
      <c r="DD106" s="132"/>
      <c r="DE106" s="132"/>
      <c r="DF106" s="132"/>
      <c r="DG106" s="132"/>
      <c r="DH106" s="132"/>
      <c r="DI106" s="132"/>
      <c r="DJ106" s="132"/>
      <c r="DK106" s="132"/>
      <c r="DL106" s="132"/>
      <c r="DM106" s="132"/>
      <c r="DN106" s="132"/>
      <c r="DO106" s="132"/>
      <c r="DP106" s="132"/>
      <c r="DQ106" s="132"/>
      <c r="DR106" s="132"/>
      <c r="DS106" s="132"/>
      <c r="DT106" s="132"/>
      <c r="DU106" s="132"/>
      <c r="DV106" s="132"/>
      <c r="DW106" s="132"/>
      <c r="DX106" s="132"/>
      <c r="DY106" s="132"/>
      <c r="DZ106" s="132"/>
      <c r="EA106" s="132"/>
      <c r="EB106" s="132"/>
      <c r="EC106" s="132"/>
      <c r="ED106" s="132"/>
      <c r="EE106" s="132"/>
      <c r="EF106" s="132"/>
      <c r="EG106" s="132"/>
      <c r="EH106" s="132"/>
      <c r="EI106" s="132"/>
      <c r="EJ106" s="132"/>
      <c r="EK106" s="132"/>
      <c r="EL106" s="132"/>
      <c r="EM106" s="132"/>
      <c r="EN106" s="132"/>
      <c r="EO106" s="132"/>
      <c r="EP106" s="132"/>
      <c r="EQ106" s="132"/>
      <c r="ER106" s="132"/>
      <c r="ES106" s="132"/>
      <c r="ET106" s="132"/>
      <c r="EU106" s="132"/>
      <c r="EV106" s="132"/>
      <c r="EW106" s="132"/>
      <c r="EX106" s="132"/>
      <c r="EY106" s="132"/>
      <c r="EZ106" s="132"/>
      <c r="FA106" s="132"/>
      <c r="FB106" s="132"/>
      <c r="FC106" s="132"/>
      <c r="FD106" s="132"/>
      <c r="FE106" s="132"/>
      <c r="FF106" s="132"/>
      <c r="FG106" s="132"/>
      <c r="FH106" s="132"/>
      <c r="FI106" s="132"/>
      <c r="FJ106" s="132"/>
      <c r="FK106" s="132"/>
      <c r="FL106" s="132"/>
      <c r="FM106" s="132"/>
      <c r="FN106" s="132"/>
      <c r="FO106" s="132"/>
      <c r="FP106" s="132"/>
      <c r="FQ106" s="132"/>
      <c r="FR106" s="132"/>
      <c r="FS106" s="132"/>
      <c r="FT106" s="132"/>
      <c r="FU106" s="132"/>
      <c r="FV106" s="132"/>
      <c r="FW106" s="132"/>
      <c r="FX106" s="132"/>
      <c r="FY106" s="132"/>
      <c r="FZ106" s="132"/>
      <c r="GA106" s="132"/>
      <c r="GB106" s="132"/>
      <c r="GC106" s="132"/>
      <c r="GD106" s="132"/>
      <c r="GE106" s="133"/>
      <c r="GF106" s="133"/>
      <c r="GG106" s="133"/>
      <c r="GH106" s="133"/>
      <c r="GI106" s="133"/>
      <c r="GJ106" s="133"/>
      <c r="GK106" s="133"/>
      <c r="GL106" s="133"/>
      <c r="GM106" s="133"/>
      <c r="GN106" s="133"/>
      <c r="GO106" s="133"/>
      <c r="GP106" s="133"/>
      <c r="GQ106" s="133"/>
      <c r="GR106" s="133"/>
      <c r="GS106" s="133"/>
      <c r="GT106" s="133"/>
      <c r="GU106" s="133"/>
      <c r="GV106" s="133"/>
      <c r="GW106" s="133"/>
      <c r="GX106" s="133"/>
      <c r="GY106" s="133"/>
      <c r="GZ106" s="133"/>
      <c r="HA106" s="133"/>
      <c r="HB106" s="133"/>
      <c r="HC106" s="133"/>
      <c r="HD106" s="133"/>
      <c r="HE106" s="133"/>
      <c r="HF106" s="133"/>
      <c r="HG106" s="133"/>
      <c r="HH106" s="133"/>
      <c r="HI106" s="133"/>
      <c r="HJ106" s="133"/>
      <c r="HK106" s="133"/>
      <c r="HL106" s="133"/>
      <c r="HM106" s="133"/>
      <c r="HN106" s="133"/>
      <c r="HO106" s="133"/>
      <c r="HP106" s="133"/>
      <c r="HQ106" s="133"/>
      <c r="HR106" s="133"/>
      <c r="HS106" s="133"/>
      <c r="HT106" s="133"/>
      <c r="HU106" s="133"/>
      <c r="HV106" s="133"/>
      <c r="HW106" s="133"/>
      <c r="HX106" s="133"/>
      <c r="HY106" s="133"/>
      <c r="HZ106" s="133"/>
      <c r="IA106" s="133"/>
      <c r="IB106" s="133"/>
      <c r="IC106" s="133"/>
      <c r="ID106" s="133"/>
      <c r="IE106" s="133"/>
      <c r="IF106" s="133"/>
      <c r="IG106" s="133"/>
      <c r="IH106" s="133"/>
      <c r="II106" s="133"/>
      <c r="IJ106" s="133"/>
      <c r="IK106" s="133"/>
      <c r="IL106" s="133"/>
      <c r="IM106" s="133"/>
      <c r="IN106" s="133"/>
      <c r="IO106" s="133"/>
      <c r="IP106" s="133"/>
      <c r="IQ106" s="133"/>
      <c r="IR106" s="133"/>
      <c r="IS106" s="133"/>
      <c r="IT106" s="133"/>
      <c r="IU106" s="133"/>
      <c r="IV106" s="133"/>
    </row>
    <row r="107" spans="1:256" s="151" customFormat="1" ht="12.6" customHeight="1">
      <c r="A107" s="145">
        <v>51</v>
      </c>
      <c r="B107" s="146" t="s">
        <v>880</v>
      </c>
      <c r="C107" s="147">
        <f t="shared" si="27"/>
        <v>0</v>
      </c>
      <c r="D107" s="154">
        <f>SUMIFS('Plan rashoda za unos u SAP'!$K$3:$K$501,'Plan rashoda za unos u SAP'!$C$3:$C$501,"=11",'Plan rashoda za unos u SAP'!$N$3:$N$501,"=51")</f>
        <v>0</v>
      </c>
      <c r="E107" s="154">
        <f>SUMIFS('Plan rashoda za unos u SAP'!$K$3:$K$501,'Plan rashoda za unos u SAP'!$C$3:$C$501,"=12",'Plan rashoda za unos u SAP'!$N$3:$N$501,"=51")</f>
        <v>0</v>
      </c>
      <c r="F107" s="154">
        <f>SUMIFS('Plan rashoda za unos u SAP'!$K$3:$K$501,'Plan rashoda za unos u SAP'!$C$3:$C$501,"=31",'Plan rashoda za unos u SAP'!$N$3:$N$501,"=51")</f>
        <v>0</v>
      </c>
      <c r="G107" s="154">
        <f>SUMIFS('Plan rashoda za unos u SAP'!$K$3:$K$501,'Plan rashoda za unos u SAP'!$C$3:$C$501,"=43",'Plan rashoda za unos u SAP'!$N$3:$N$501,"=51")</f>
        <v>0</v>
      </c>
      <c r="H107" s="154">
        <f>SUMIFS('Plan rashoda za unos u SAP'!$K$3:$K$501,'Plan rashoda za unos u SAP'!$C$3:$C$501,"=51",'Plan rashoda za unos u SAP'!$N$3:$N$501,"=51")</f>
        <v>0</v>
      </c>
      <c r="I107" s="154">
        <f>SUMIFS('Plan rashoda za unos u SAP'!$K$3:$K$501,'Plan rashoda za unos u SAP'!$C$3:$C$501,"=52",'Plan rashoda za unos u SAP'!$N$3:$N$501,"=51")</f>
        <v>0</v>
      </c>
      <c r="J107" s="154">
        <f>SUMIFS('Plan rashoda za unos u SAP'!$K$3:$K$501,'Plan rashoda za unos u SAP'!$C$3:$C$501,"=559",'Plan rashoda za unos u SAP'!$N$3:$N$501,"=51")</f>
        <v>0</v>
      </c>
      <c r="K107" s="154">
        <f>SUMIFS('Plan rashoda za unos u SAP'!$K$3:$K$501,'Plan rashoda za unos u SAP'!$C$3:$C$501,"=561",'Plan rashoda za unos u SAP'!$N$3:$N$501,"=51")</f>
        <v>0</v>
      </c>
      <c r="L107" s="154">
        <f>SUMIFS('Plan rashoda za unos u SAP'!$K$3:$K$501,'Plan rashoda za unos u SAP'!$C$3:$C$501,"=563",'Plan rashoda za unos u SAP'!$N$3:$N$501,"=51")</f>
        <v>0</v>
      </c>
      <c r="M107" s="154">
        <f>SUMIFS('Plan rashoda za unos u SAP'!$K$3:$K$501,'Plan rashoda za unos u SAP'!$C$3:$C$501,"=61",'Plan rashoda za unos u SAP'!$N$3:$N$501,"=51")</f>
        <v>0</v>
      </c>
      <c r="N107" s="154">
        <f>SUMIFS('Plan rashoda za unos u SAP'!$K$3:$K$501,'Plan rashoda za unos u SAP'!$C$3:$C$501,"=63",'Plan rashoda za unos u SAP'!$N$3:$N$501,"=51")</f>
        <v>0</v>
      </c>
      <c r="O107" s="154">
        <f>SUMIFS('Plan rashoda za unos u SAP'!$K$3:$K$501,'Plan rashoda za unos u SAP'!$C$3:$C$501,"=71",'Plan rashoda za unos u SAP'!$N$3:$N$501,"=51")</f>
        <v>0</v>
      </c>
      <c r="P107" s="154">
        <f>SUMIFS('Plan rashoda za unos u SAP'!$K$3:$K$501,'Plan rashoda za unos u SAP'!$C$3:$C$501,"=81",'Plan rashoda za unos u SAP'!$N$3:$N$501,"=51")</f>
        <v>0</v>
      </c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  <c r="BN107" s="149"/>
      <c r="BO107" s="149"/>
      <c r="BP107" s="149"/>
      <c r="BQ107" s="149"/>
      <c r="BR107" s="149"/>
      <c r="BS107" s="149"/>
      <c r="BT107" s="149"/>
      <c r="BU107" s="149"/>
      <c r="BV107" s="149"/>
      <c r="BW107" s="149"/>
      <c r="BX107" s="149"/>
      <c r="BY107" s="149"/>
      <c r="BZ107" s="149"/>
      <c r="CA107" s="149"/>
      <c r="CB107" s="149"/>
      <c r="CC107" s="149"/>
      <c r="CD107" s="149"/>
      <c r="CE107" s="149"/>
      <c r="CF107" s="149"/>
      <c r="CG107" s="149"/>
      <c r="CH107" s="149"/>
      <c r="CI107" s="149"/>
      <c r="CJ107" s="149"/>
      <c r="CK107" s="149"/>
      <c r="CL107" s="149"/>
      <c r="CM107" s="149"/>
      <c r="CN107" s="149"/>
      <c r="CO107" s="149"/>
      <c r="CP107" s="149"/>
      <c r="CQ107" s="149"/>
      <c r="CR107" s="149"/>
      <c r="CS107" s="149"/>
      <c r="CT107" s="149"/>
      <c r="CU107" s="149"/>
      <c r="CV107" s="149"/>
      <c r="CW107" s="149"/>
      <c r="CX107" s="149"/>
      <c r="CY107" s="149"/>
      <c r="CZ107" s="149"/>
      <c r="DA107" s="149"/>
      <c r="DB107" s="149"/>
      <c r="DC107" s="149"/>
      <c r="DD107" s="149"/>
      <c r="DE107" s="149"/>
      <c r="DF107" s="149"/>
      <c r="DG107" s="149"/>
      <c r="DH107" s="149"/>
      <c r="DI107" s="149"/>
      <c r="DJ107" s="149"/>
      <c r="DK107" s="149"/>
      <c r="DL107" s="149"/>
      <c r="DM107" s="149"/>
      <c r="DN107" s="149"/>
      <c r="DO107" s="149"/>
      <c r="DP107" s="149"/>
      <c r="DQ107" s="149"/>
      <c r="DR107" s="149"/>
      <c r="DS107" s="149"/>
      <c r="DT107" s="149"/>
      <c r="DU107" s="149"/>
      <c r="DV107" s="149"/>
      <c r="DW107" s="149"/>
      <c r="DX107" s="149"/>
      <c r="DY107" s="149"/>
      <c r="DZ107" s="149"/>
      <c r="EA107" s="149"/>
      <c r="EB107" s="149"/>
      <c r="EC107" s="149"/>
      <c r="ED107" s="149"/>
      <c r="EE107" s="149"/>
      <c r="EF107" s="149"/>
      <c r="EG107" s="149"/>
      <c r="EH107" s="149"/>
      <c r="EI107" s="149"/>
      <c r="EJ107" s="149"/>
      <c r="EK107" s="149"/>
      <c r="EL107" s="149"/>
      <c r="EM107" s="149"/>
      <c r="EN107" s="149"/>
      <c r="EO107" s="149"/>
      <c r="EP107" s="149"/>
      <c r="EQ107" s="149"/>
      <c r="ER107" s="149"/>
      <c r="ES107" s="149"/>
      <c r="ET107" s="149"/>
      <c r="EU107" s="149"/>
      <c r="EV107" s="149"/>
      <c r="EW107" s="149"/>
      <c r="EX107" s="149"/>
      <c r="EY107" s="149"/>
      <c r="EZ107" s="149"/>
      <c r="FA107" s="149"/>
      <c r="FB107" s="149"/>
      <c r="FC107" s="149"/>
      <c r="FD107" s="149"/>
      <c r="FE107" s="149"/>
      <c r="FF107" s="149"/>
      <c r="FG107" s="149"/>
      <c r="FH107" s="149"/>
      <c r="FI107" s="149"/>
      <c r="FJ107" s="149"/>
      <c r="FK107" s="149"/>
      <c r="FL107" s="149"/>
      <c r="FM107" s="149"/>
      <c r="FN107" s="149"/>
      <c r="FO107" s="149"/>
      <c r="FP107" s="149"/>
      <c r="FQ107" s="149"/>
      <c r="FR107" s="149"/>
      <c r="FS107" s="149"/>
      <c r="FT107" s="149"/>
      <c r="FU107" s="149"/>
      <c r="FV107" s="149"/>
      <c r="FW107" s="149"/>
      <c r="FX107" s="149"/>
      <c r="FY107" s="149"/>
      <c r="FZ107" s="149"/>
      <c r="GA107" s="149"/>
      <c r="GB107" s="149"/>
      <c r="GC107" s="149"/>
      <c r="GD107" s="149"/>
      <c r="GE107" s="150"/>
      <c r="GF107" s="150"/>
      <c r="GG107" s="150"/>
      <c r="GH107" s="150"/>
      <c r="GI107" s="150"/>
      <c r="GJ107" s="150"/>
      <c r="GK107" s="150"/>
      <c r="GL107" s="150"/>
      <c r="GM107" s="150"/>
      <c r="GN107" s="150"/>
      <c r="GO107" s="150"/>
      <c r="GP107" s="150"/>
      <c r="GQ107" s="150"/>
      <c r="GR107" s="150"/>
      <c r="GS107" s="150"/>
      <c r="GT107" s="150"/>
      <c r="GU107" s="150"/>
      <c r="GV107" s="150"/>
      <c r="GW107" s="150"/>
      <c r="GX107" s="150"/>
      <c r="GY107" s="150"/>
      <c r="GZ107" s="150"/>
      <c r="HA107" s="150"/>
      <c r="HB107" s="150"/>
      <c r="HC107" s="150"/>
      <c r="HD107" s="150"/>
      <c r="HE107" s="150"/>
      <c r="HF107" s="150"/>
      <c r="HG107" s="150"/>
      <c r="HH107" s="150"/>
      <c r="HI107" s="150"/>
      <c r="HJ107" s="150"/>
      <c r="HK107" s="150"/>
      <c r="HL107" s="150"/>
      <c r="HM107" s="150"/>
      <c r="HN107" s="150"/>
      <c r="HO107" s="150"/>
      <c r="HP107" s="150"/>
      <c r="HQ107" s="150"/>
      <c r="HR107" s="150"/>
      <c r="HS107" s="150"/>
      <c r="HT107" s="150"/>
      <c r="HU107" s="150"/>
      <c r="HV107" s="150"/>
      <c r="HW107" s="150"/>
      <c r="HX107" s="150"/>
      <c r="HY107" s="150"/>
      <c r="HZ107" s="150"/>
      <c r="IA107" s="150"/>
      <c r="IB107" s="150"/>
      <c r="IC107" s="150"/>
      <c r="ID107" s="150"/>
      <c r="IE107" s="150"/>
      <c r="IF107" s="150"/>
      <c r="IG107" s="150"/>
      <c r="IH107" s="150"/>
      <c r="II107" s="150"/>
      <c r="IJ107" s="150"/>
      <c r="IK107" s="150"/>
      <c r="IL107" s="150"/>
      <c r="IM107" s="150"/>
      <c r="IN107" s="150"/>
      <c r="IO107" s="150"/>
      <c r="IP107" s="150"/>
      <c r="IQ107" s="150"/>
      <c r="IR107" s="150"/>
      <c r="IS107" s="150"/>
      <c r="IT107" s="150"/>
      <c r="IU107" s="150"/>
      <c r="IV107" s="150"/>
    </row>
    <row r="108" spans="1:256" s="151" customFormat="1" ht="12.6" customHeight="1">
      <c r="A108" s="145">
        <v>54</v>
      </c>
      <c r="B108" s="146" t="s">
        <v>884</v>
      </c>
      <c r="C108" s="147">
        <f t="shared" si="27"/>
        <v>0</v>
      </c>
      <c r="D108" s="154">
        <f>SUMIFS('Plan rashoda za unos u SAP'!$K$3:$K$501,'Plan rashoda za unos u SAP'!$C$3:$C$501,"=11",'Plan rashoda za unos u SAP'!$N$3:$N$501,"=54")</f>
        <v>0</v>
      </c>
      <c r="E108" s="154">
        <f>SUMIFS('Plan rashoda za unos u SAP'!$K$3:$K$501,'Plan rashoda za unos u SAP'!$C$3:$C$501,"=12",'Plan rashoda za unos u SAP'!$N$3:$N$501,"=54")</f>
        <v>0</v>
      </c>
      <c r="F108" s="154">
        <f>SUMIFS('Plan rashoda za unos u SAP'!$K$3:$K$501,'Plan rashoda za unos u SAP'!$C$3:$C$501,"=31",'Plan rashoda za unos u SAP'!$N$3:$N$501,"=54")</f>
        <v>0</v>
      </c>
      <c r="G108" s="154">
        <f>SUMIFS('Plan rashoda za unos u SAP'!$K$3:$K$501,'Plan rashoda za unos u SAP'!$C$3:$C$501,"=43",'Plan rashoda za unos u SAP'!$N$3:$N$501,"=54")</f>
        <v>0</v>
      </c>
      <c r="H108" s="154">
        <f>SUMIFS('Plan rashoda za unos u SAP'!$K$3:$K$501,'Plan rashoda za unos u SAP'!$C$3:$C$501,"=51",'Plan rashoda za unos u SAP'!$N$3:$N$501,"=54")</f>
        <v>0</v>
      </c>
      <c r="I108" s="154">
        <f>SUMIFS('Plan rashoda za unos u SAP'!$K$3:$K$501,'Plan rashoda za unos u SAP'!$C$3:$C$501,"=52",'Plan rashoda za unos u SAP'!$N$3:$N$501,"=54")</f>
        <v>0</v>
      </c>
      <c r="J108" s="154">
        <f>SUMIFS('Plan rashoda za unos u SAP'!$K$3:$K$501,'Plan rashoda za unos u SAP'!$C$3:$C$501,"=559",'Plan rashoda za unos u SAP'!$N$3:$N$501,"=54")</f>
        <v>0</v>
      </c>
      <c r="K108" s="154">
        <f>SUMIFS('Plan rashoda za unos u SAP'!$K$3:$K$501,'Plan rashoda za unos u SAP'!$C$3:$C$501,"=561",'Plan rashoda za unos u SAP'!$N$3:$N$501,"=54")</f>
        <v>0</v>
      </c>
      <c r="L108" s="154">
        <f>SUMIFS('Plan rashoda za unos u SAP'!$K$3:$K$501,'Plan rashoda za unos u SAP'!$C$3:$C$501,"=563",'Plan rashoda za unos u SAP'!$N$3:$N$501,"=54")</f>
        <v>0</v>
      </c>
      <c r="M108" s="154">
        <f>SUMIFS('Plan rashoda za unos u SAP'!$K$3:$K$501,'Plan rashoda za unos u SAP'!$C$3:$C$501,"=61",'Plan rashoda za unos u SAP'!$N$3:$N$501,"=54")</f>
        <v>0</v>
      </c>
      <c r="N108" s="154">
        <f>SUMIFS('Plan rashoda za unos u SAP'!$K$3:$K$501,'Plan rashoda za unos u SAP'!$C$3:$C$501,"=63",'Plan rashoda za unos u SAP'!$N$3:$N$501,"=54")</f>
        <v>0</v>
      </c>
      <c r="O108" s="154">
        <f>SUMIFS('Plan rashoda za unos u SAP'!$K$3:$K$501,'Plan rashoda za unos u SAP'!$C$3:$C$501,"=71",'Plan rashoda za unos u SAP'!$N$3:$N$501,"=54")</f>
        <v>0</v>
      </c>
      <c r="P108" s="154">
        <f>SUMIFS('Plan rashoda za unos u SAP'!$K$3:$K$501,'Plan rashoda za unos u SAP'!$C$3:$C$501,"=81",'Plan rashoda za unos u SAP'!$N$3:$N$501,"=54")</f>
        <v>0</v>
      </c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/>
      <c r="BS108" s="149"/>
      <c r="BT108" s="149"/>
      <c r="BU108" s="149"/>
      <c r="BV108" s="149"/>
      <c r="BW108" s="149"/>
      <c r="BX108" s="149"/>
      <c r="BY108" s="149"/>
      <c r="BZ108" s="149"/>
      <c r="CA108" s="149"/>
      <c r="CB108" s="149"/>
      <c r="CC108" s="149"/>
      <c r="CD108" s="149"/>
      <c r="CE108" s="149"/>
      <c r="CF108" s="149"/>
      <c r="CG108" s="149"/>
      <c r="CH108" s="149"/>
      <c r="CI108" s="149"/>
      <c r="CJ108" s="149"/>
      <c r="CK108" s="149"/>
      <c r="CL108" s="149"/>
      <c r="CM108" s="149"/>
      <c r="CN108" s="149"/>
      <c r="CO108" s="149"/>
      <c r="CP108" s="149"/>
      <c r="CQ108" s="149"/>
      <c r="CR108" s="149"/>
      <c r="CS108" s="149"/>
      <c r="CT108" s="149"/>
      <c r="CU108" s="149"/>
      <c r="CV108" s="149"/>
      <c r="CW108" s="149"/>
      <c r="CX108" s="149"/>
      <c r="CY108" s="149"/>
      <c r="CZ108" s="149"/>
      <c r="DA108" s="149"/>
      <c r="DB108" s="149"/>
      <c r="DC108" s="149"/>
      <c r="DD108" s="149"/>
      <c r="DE108" s="149"/>
      <c r="DF108" s="149"/>
      <c r="DG108" s="149"/>
      <c r="DH108" s="149"/>
      <c r="DI108" s="149"/>
      <c r="DJ108" s="149"/>
      <c r="DK108" s="149"/>
      <c r="DL108" s="149"/>
      <c r="DM108" s="149"/>
      <c r="DN108" s="149"/>
      <c r="DO108" s="149"/>
      <c r="DP108" s="149"/>
      <c r="DQ108" s="149"/>
      <c r="DR108" s="149"/>
      <c r="DS108" s="149"/>
      <c r="DT108" s="149"/>
      <c r="DU108" s="149"/>
      <c r="DV108" s="149"/>
      <c r="DW108" s="149"/>
      <c r="DX108" s="149"/>
      <c r="DY108" s="149"/>
      <c r="DZ108" s="149"/>
      <c r="EA108" s="149"/>
      <c r="EB108" s="149"/>
      <c r="EC108" s="149"/>
      <c r="ED108" s="149"/>
      <c r="EE108" s="149"/>
      <c r="EF108" s="149"/>
      <c r="EG108" s="149"/>
      <c r="EH108" s="149"/>
      <c r="EI108" s="149"/>
      <c r="EJ108" s="149"/>
      <c r="EK108" s="149"/>
      <c r="EL108" s="149"/>
      <c r="EM108" s="149"/>
      <c r="EN108" s="149"/>
      <c r="EO108" s="149"/>
      <c r="EP108" s="149"/>
      <c r="EQ108" s="149"/>
      <c r="ER108" s="149"/>
      <c r="ES108" s="149"/>
      <c r="ET108" s="149"/>
      <c r="EU108" s="149"/>
      <c r="EV108" s="149"/>
      <c r="EW108" s="149"/>
      <c r="EX108" s="149"/>
      <c r="EY108" s="149"/>
      <c r="EZ108" s="149"/>
      <c r="FA108" s="149"/>
      <c r="FB108" s="149"/>
      <c r="FC108" s="149"/>
      <c r="FD108" s="149"/>
      <c r="FE108" s="149"/>
      <c r="FF108" s="149"/>
      <c r="FG108" s="149"/>
      <c r="FH108" s="149"/>
      <c r="FI108" s="149"/>
      <c r="FJ108" s="149"/>
      <c r="FK108" s="149"/>
      <c r="FL108" s="149"/>
      <c r="FM108" s="149"/>
      <c r="FN108" s="149"/>
      <c r="FO108" s="149"/>
      <c r="FP108" s="149"/>
      <c r="FQ108" s="149"/>
      <c r="FR108" s="149"/>
      <c r="FS108" s="149"/>
      <c r="FT108" s="149"/>
      <c r="FU108" s="149"/>
      <c r="FV108" s="149"/>
      <c r="FW108" s="149"/>
      <c r="FX108" s="149"/>
      <c r="FY108" s="149"/>
      <c r="FZ108" s="149"/>
      <c r="GA108" s="149"/>
      <c r="GB108" s="149"/>
      <c r="GC108" s="149"/>
      <c r="GD108" s="149"/>
      <c r="GE108" s="150"/>
      <c r="GF108" s="150"/>
      <c r="GG108" s="150"/>
      <c r="GH108" s="150"/>
      <c r="GI108" s="150"/>
      <c r="GJ108" s="150"/>
      <c r="GK108" s="150"/>
      <c r="GL108" s="150"/>
      <c r="GM108" s="150"/>
      <c r="GN108" s="150"/>
      <c r="GO108" s="150"/>
      <c r="GP108" s="150"/>
      <c r="GQ108" s="150"/>
      <c r="GR108" s="150"/>
      <c r="GS108" s="150"/>
      <c r="GT108" s="150"/>
      <c r="GU108" s="150"/>
      <c r="GV108" s="150"/>
      <c r="GW108" s="150"/>
      <c r="GX108" s="150"/>
      <c r="GY108" s="150"/>
      <c r="GZ108" s="150"/>
      <c r="HA108" s="150"/>
      <c r="HB108" s="150"/>
      <c r="HC108" s="150"/>
      <c r="HD108" s="150"/>
      <c r="HE108" s="150"/>
      <c r="HF108" s="150"/>
      <c r="HG108" s="150"/>
      <c r="HH108" s="150"/>
      <c r="HI108" s="150"/>
      <c r="HJ108" s="150"/>
      <c r="HK108" s="150"/>
      <c r="HL108" s="150"/>
      <c r="HM108" s="150"/>
      <c r="HN108" s="150"/>
      <c r="HO108" s="150"/>
      <c r="HP108" s="150"/>
      <c r="HQ108" s="150"/>
      <c r="HR108" s="150"/>
      <c r="HS108" s="150"/>
      <c r="HT108" s="150"/>
      <c r="HU108" s="150"/>
      <c r="HV108" s="150"/>
      <c r="HW108" s="150"/>
      <c r="HX108" s="150"/>
      <c r="HY108" s="150"/>
      <c r="HZ108" s="150"/>
      <c r="IA108" s="150"/>
      <c r="IB108" s="150"/>
      <c r="IC108" s="150"/>
      <c r="ID108" s="150"/>
      <c r="IE108" s="150"/>
      <c r="IF108" s="150"/>
      <c r="IG108" s="150"/>
      <c r="IH108" s="150"/>
      <c r="II108" s="150"/>
      <c r="IJ108" s="150"/>
      <c r="IK108" s="150"/>
      <c r="IL108" s="150"/>
      <c r="IM108" s="150"/>
      <c r="IN108" s="150"/>
      <c r="IO108" s="150"/>
      <c r="IP108" s="150"/>
      <c r="IQ108" s="150"/>
      <c r="IR108" s="150"/>
      <c r="IS108" s="150"/>
      <c r="IT108" s="150"/>
      <c r="IU108" s="150"/>
      <c r="IV108" s="150"/>
    </row>
    <row r="109" spans="1:256" s="132" customFormat="1" ht="13.8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GE109" s="133"/>
      <c r="GF109" s="133"/>
      <c r="GG109" s="133"/>
      <c r="GH109" s="133"/>
      <c r="GI109" s="133"/>
      <c r="GJ109" s="133"/>
      <c r="GK109" s="133"/>
      <c r="GL109" s="133"/>
      <c r="GM109" s="133"/>
      <c r="GN109" s="133"/>
      <c r="GO109" s="133"/>
      <c r="GP109" s="133"/>
      <c r="GQ109" s="133"/>
      <c r="GR109" s="133"/>
      <c r="GS109" s="133"/>
      <c r="GT109" s="133"/>
      <c r="GU109" s="133"/>
      <c r="GV109" s="133"/>
      <c r="GW109" s="133"/>
      <c r="GX109" s="133"/>
      <c r="GY109" s="133"/>
      <c r="GZ109" s="133"/>
      <c r="HA109" s="133"/>
      <c r="HB109" s="133"/>
      <c r="HC109" s="133"/>
      <c r="HD109" s="133"/>
      <c r="HE109" s="133"/>
      <c r="HF109" s="133"/>
      <c r="HG109" s="133"/>
      <c r="HH109" s="133"/>
      <c r="HI109" s="133"/>
      <c r="HJ109" s="133"/>
      <c r="HK109" s="133"/>
      <c r="HL109" s="133"/>
      <c r="HM109" s="133"/>
      <c r="HN109" s="133"/>
      <c r="HO109" s="133"/>
      <c r="HP109" s="133"/>
      <c r="HQ109" s="133"/>
      <c r="HR109" s="133"/>
      <c r="HS109" s="133"/>
      <c r="HT109" s="133"/>
      <c r="HU109" s="133"/>
      <c r="HV109" s="133"/>
      <c r="HW109" s="133"/>
      <c r="HX109" s="133"/>
      <c r="HY109" s="133"/>
      <c r="HZ109" s="133"/>
      <c r="IA109" s="133"/>
      <c r="IB109" s="133"/>
      <c r="IC109" s="133"/>
      <c r="ID109" s="133"/>
      <c r="IE109" s="133"/>
      <c r="IF109" s="133"/>
      <c r="IG109" s="133"/>
      <c r="IH109" s="133"/>
      <c r="II109" s="133"/>
      <c r="IJ109" s="133"/>
      <c r="IK109" s="133"/>
      <c r="IL109" s="133"/>
      <c r="IM109" s="133"/>
      <c r="IN109" s="133"/>
      <c r="IO109" s="133"/>
      <c r="IP109" s="133"/>
      <c r="IQ109" s="133"/>
      <c r="IR109" s="133"/>
      <c r="IS109" s="133"/>
      <c r="IT109" s="133"/>
      <c r="IU109" s="133"/>
      <c r="IV109" s="133"/>
    </row>
    <row r="110" spans="1:256" s="132" customFormat="1" ht="13.8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GE110" s="133"/>
      <c r="GF110" s="133"/>
      <c r="GG110" s="133"/>
      <c r="GH110" s="133"/>
      <c r="GI110" s="133"/>
      <c r="GJ110" s="133"/>
      <c r="GK110" s="133"/>
      <c r="GL110" s="133"/>
      <c r="GM110" s="133"/>
      <c r="GN110" s="133"/>
      <c r="GO110" s="133"/>
      <c r="GP110" s="133"/>
      <c r="GQ110" s="133"/>
      <c r="GR110" s="133"/>
      <c r="GS110" s="133"/>
      <c r="GT110" s="133"/>
      <c r="GU110" s="133"/>
      <c r="GV110" s="133"/>
      <c r="GW110" s="133"/>
      <c r="GX110" s="133"/>
      <c r="GY110" s="133"/>
      <c r="GZ110" s="133"/>
      <c r="HA110" s="133"/>
      <c r="HB110" s="133"/>
      <c r="HC110" s="133"/>
      <c r="HD110" s="133"/>
      <c r="HE110" s="133"/>
      <c r="HF110" s="133"/>
      <c r="HG110" s="133"/>
      <c r="HH110" s="133"/>
      <c r="HI110" s="133"/>
      <c r="HJ110" s="133"/>
      <c r="HK110" s="133"/>
      <c r="HL110" s="133"/>
      <c r="HM110" s="133"/>
      <c r="HN110" s="133"/>
      <c r="HO110" s="133"/>
      <c r="HP110" s="133"/>
      <c r="HQ110" s="133"/>
      <c r="HR110" s="133"/>
      <c r="HS110" s="133"/>
      <c r="HT110" s="133"/>
      <c r="HU110" s="133"/>
      <c r="HV110" s="133"/>
      <c r="HW110" s="133"/>
      <c r="HX110" s="133"/>
      <c r="HY110" s="133"/>
      <c r="HZ110" s="133"/>
      <c r="IA110" s="133"/>
      <c r="IB110" s="133"/>
      <c r="IC110" s="133"/>
      <c r="ID110" s="133"/>
      <c r="IE110" s="133"/>
      <c r="IF110" s="133"/>
      <c r="IG110" s="133"/>
      <c r="IH110" s="133"/>
      <c r="II110" s="133"/>
      <c r="IJ110" s="133"/>
      <c r="IK110" s="133"/>
      <c r="IL110" s="133"/>
      <c r="IM110" s="133"/>
      <c r="IN110" s="133"/>
      <c r="IO110" s="133"/>
      <c r="IP110" s="133"/>
      <c r="IQ110" s="133"/>
      <c r="IR110" s="133"/>
      <c r="IS110" s="133"/>
      <c r="IT110" s="133"/>
      <c r="IU110" s="133"/>
      <c r="IV110" s="133"/>
    </row>
    <row r="111" spans="1:256" s="132" customFormat="1" ht="13.8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GE111" s="133"/>
      <c r="GF111" s="133"/>
      <c r="GG111" s="133"/>
      <c r="GH111" s="133"/>
      <c r="GI111" s="133"/>
      <c r="GJ111" s="133"/>
      <c r="GK111" s="133"/>
      <c r="GL111" s="133"/>
      <c r="GM111" s="133"/>
      <c r="GN111" s="133"/>
      <c r="GO111" s="133"/>
      <c r="GP111" s="133"/>
      <c r="GQ111" s="133"/>
      <c r="GR111" s="133"/>
      <c r="GS111" s="133"/>
      <c r="GT111" s="133"/>
      <c r="GU111" s="133"/>
      <c r="GV111" s="133"/>
      <c r="GW111" s="133"/>
      <c r="GX111" s="133"/>
      <c r="GY111" s="133"/>
      <c r="GZ111" s="133"/>
      <c r="HA111" s="133"/>
      <c r="HB111" s="133"/>
      <c r="HC111" s="133"/>
      <c r="HD111" s="133"/>
      <c r="HE111" s="133"/>
      <c r="HF111" s="133"/>
      <c r="HG111" s="133"/>
      <c r="HH111" s="133"/>
      <c r="HI111" s="133"/>
      <c r="HJ111" s="133"/>
      <c r="HK111" s="133"/>
      <c r="HL111" s="133"/>
      <c r="HM111" s="133"/>
      <c r="HN111" s="133"/>
      <c r="HO111" s="133"/>
      <c r="HP111" s="133"/>
      <c r="HQ111" s="133"/>
      <c r="HR111" s="133"/>
      <c r="HS111" s="133"/>
      <c r="HT111" s="133"/>
      <c r="HU111" s="133"/>
      <c r="HV111" s="133"/>
      <c r="HW111" s="133"/>
      <c r="HX111" s="133"/>
      <c r="HY111" s="133"/>
      <c r="HZ111" s="133"/>
      <c r="IA111" s="133"/>
      <c r="IB111" s="133"/>
      <c r="IC111" s="133"/>
      <c r="ID111" s="133"/>
      <c r="IE111" s="133"/>
      <c r="IF111" s="133"/>
      <c r="IG111" s="133"/>
      <c r="IH111" s="133"/>
      <c r="II111" s="133"/>
      <c r="IJ111" s="133"/>
      <c r="IK111" s="133"/>
      <c r="IL111" s="133"/>
      <c r="IM111" s="133"/>
      <c r="IN111" s="133"/>
      <c r="IO111" s="133"/>
      <c r="IP111" s="133"/>
      <c r="IQ111" s="133"/>
      <c r="IR111" s="133"/>
      <c r="IS111" s="133"/>
      <c r="IT111" s="133"/>
      <c r="IU111" s="133"/>
      <c r="IV111" s="133"/>
    </row>
    <row r="112" spans="1:256" s="132" customFormat="1" ht="13.8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GE112" s="133"/>
      <c r="GF112" s="133"/>
      <c r="GG112" s="133"/>
      <c r="GH112" s="133"/>
      <c r="GI112" s="133"/>
      <c r="GJ112" s="133"/>
      <c r="GK112" s="133"/>
      <c r="GL112" s="133"/>
      <c r="GM112" s="133"/>
      <c r="GN112" s="133"/>
      <c r="GO112" s="133"/>
      <c r="GP112" s="133"/>
      <c r="GQ112" s="133"/>
      <c r="GR112" s="133"/>
      <c r="GS112" s="133"/>
      <c r="GT112" s="133"/>
      <c r="GU112" s="133"/>
      <c r="GV112" s="133"/>
      <c r="GW112" s="133"/>
      <c r="GX112" s="133"/>
      <c r="GY112" s="133"/>
      <c r="GZ112" s="133"/>
      <c r="HA112" s="133"/>
      <c r="HB112" s="133"/>
      <c r="HC112" s="133"/>
      <c r="HD112" s="133"/>
      <c r="HE112" s="133"/>
      <c r="HF112" s="133"/>
      <c r="HG112" s="133"/>
      <c r="HH112" s="133"/>
      <c r="HI112" s="133"/>
      <c r="HJ112" s="133"/>
      <c r="HK112" s="133"/>
      <c r="HL112" s="133"/>
      <c r="HM112" s="133"/>
      <c r="HN112" s="133"/>
      <c r="HO112" s="133"/>
      <c r="HP112" s="133"/>
      <c r="HQ112" s="133"/>
      <c r="HR112" s="133"/>
      <c r="HS112" s="133"/>
      <c r="HT112" s="133"/>
      <c r="HU112" s="133"/>
      <c r="HV112" s="133"/>
      <c r="HW112" s="133"/>
      <c r="HX112" s="133"/>
      <c r="HY112" s="133"/>
      <c r="HZ112" s="133"/>
      <c r="IA112" s="133"/>
      <c r="IB112" s="133"/>
      <c r="IC112" s="133"/>
      <c r="ID112" s="133"/>
      <c r="IE112" s="133"/>
      <c r="IF112" s="133"/>
      <c r="IG112" s="133"/>
      <c r="IH112" s="133"/>
      <c r="II112" s="133"/>
      <c r="IJ112" s="133"/>
      <c r="IK112" s="133"/>
      <c r="IL112" s="133"/>
      <c r="IM112" s="133"/>
      <c r="IN112" s="133"/>
      <c r="IO112" s="133"/>
      <c r="IP112" s="133"/>
      <c r="IQ112" s="133"/>
      <c r="IR112" s="133"/>
      <c r="IS112" s="133"/>
      <c r="IT112" s="133"/>
      <c r="IU112" s="133"/>
      <c r="IV112" s="133"/>
    </row>
    <row r="113" spans="1:256" s="132" customFormat="1" ht="13.8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GE113" s="133"/>
      <c r="GF113" s="133"/>
      <c r="GG113" s="133"/>
      <c r="GH113" s="133"/>
      <c r="GI113" s="133"/>
      <c r="GJ113" s="133"/>
      <c r="GK113" s="133"/>
      <c r="GL113" s="133"/>
      <c r="GM113" s="133"/>
      <c r="GN113" s="133"/>
      <c r="GO113" s="133"/>
      <c r="GP113" s="133"/>
      <c r="GQ113" s="133"/>
      <c r="GR113" s="133"/>
      <c r="GS113" s="133"/>
      <c r="GT113" s="133"/>
      <c r="GU113" s="133"/>
      <c r="GV113" s="133"/>
      <c r="GW113" s="133"/>
      <c r="GX113" s="133"/>
      <c r="GY113" s="133"/>
      <c r="GZ113" s="133"/>
      <c r="HA113" s="133"/>
      <c r="HB113" s="133"/>
      <c r="HC113" s="133"/>
      <c r="HD113" s="133"/>
      <c r="HE113" s="133"/>
      <c r="HF113" s="133"/>
      <c r="HG113" s="133"/>
      <c r="HH113" s="133"/>
      <c r="HI113" s="133"/>
      <c r="HJ113" s="133"/>
      <c r="HK113" s="133"/>
      <c r="HL113" s="133"/>
      <c r="HM113" s="133"/>
      <c r="HN113" s="133"/>
      <c r="HO113" s="133"/>
      <c r="HP113" s="133"/>
      <c r="HQ113" s="133"/>
      <c r="HR113" s="133"/>
      <c r="HS113" s="133"/>
      <c r="HT113" s="133"/>
      <c r="HU113" s="133"/>
      <c r="HV113" s="133"/>
      <c r="HW113" s="133"/>
      <c r="HX113" s="133"/>
      <c r="HY113" s="133"/>
      <c r="HZ113" s="133"/>
      <c r="IA113" s="133"/>
      <c r="IB113" s="133"/>
      <c r="IC113" s="133"/>
      <c r="ID113" s="133"/>
      <c r="IE113" s="133"/>
      <c r="IF113" s="133"/>
      <c r="IG113" s="133"/>
      <c r="IH113" s="133"/>
      <c r="II113" s="133"/>
      <c r="IJ113" s="133"/>
      <c r="IK113" s="133"/>
      <c r="IL113" s="133"/>
      <c r="IM113" s="133"/>
      <c r="IN113" s="133"/>
      <c r="IO113" s="133"/>
      <c r="IP113" s="133"/>
      <c r="IQ113" s="133"/>
      <c r="IR113" s="133"/>
      <c r="IS113" s="133"/>
      <c r="IT113" s="133"/>
      <c r="IU113" s="133"/>
      <c r="IV113" s="133"/>
    </row>
    <row r="114" spans="1:256" s="132" customFormat="1" ht="13.8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GE114" s="133"/>
      <c r="GF114" s="133"/>
      <c r="GG114" s="133"/>
      <c r="GH114" s="133"/>
      <c r="GI114" s="133"/>
      <c r="GJ114" s="133"/>
      <c r="GK114" s="133"/>
      <c r="GL114" s="133"/>
      <c r="GM114" s="133"/>
      <c r="GN114" s="133"/>
      <c r="GO114" s="133"/>
      <c r="GP114" s="133"/>
      <c r="GQ114" s="133"/>
      <c r="GR114" s="133"/>
      <c r="GS114" s="133"/>
      <c r="GT114" s="133"/>
      <c r="GU114" s="133"/>
      <c r="GV114" s="133"/>
      <c r="GW114" s="133"/>
      <c r="GX114" s="133"/>
      <c r="GY114" s="133"/>
      <c r="GZ114" s="133"/>
      <c r="HA114" s="133"/>
      <c r="HB114" s="133"/>
      <c r="HC114" s="133"/>
      <c r="HD114" s="133"/>
      <c r="HE114" s="133"/>
      <c r="HF114" s="133"/>
      <c r="HG114" s="133"/>
      <c r="HH114" s="133"/>
      <c r="HI114" s="133"/>
      <c r="HJ114" s="133"/>
      <c r="HK114" s="133"/>
      <c r="HL114" s="133"/>
      <c r="HM114" s="133"/>
      <c r="HN114" s="133"/>
      <c r="HO114" s="133"/>
      <c r="HP114" s="133"/>
      <c r="HQ114" s="133"/>
      <c r="HR114" s="133"/>
      <c r="HS114" s="133"/>
      <c r="HT114" s="133"/>
      <c r="HU114" s="133"/>
      <c r="HV114" s="133"/>
      <c r="HW114" s="133"/>
      <c r="HX114" s="133"/>
      <c r="HY114" s="133"/>
      <c r="HZ114" s="133"/>
      <c r="IA114" s="133"/>
      <c r="IB114" s="133"/>
      <c r="IC114" s="133"/>
      <c r="ID114" s="133"/>
      <c r="IE114" s="133"/>
      <c r="IF114" s="133"/>
      <c r="IG114" s="133"/>
      <c r="IH114" s="133"/>
      <c r="II114" s="133"/>
      <c r="IJ114" s="133"/>
      <c r="IK114" s="133"/>
      <c r="IL114" s="133"/>
      <c r="IM114" s="133"/>
      <c r="IN114" s="133"/>
      <c r="IO114" s="133"/>
      <c r="IP114" s="133"/>
      <c r="IQ114" s="133"/>
      <c r="IR114" s="133"/>
      <c r="IS114" s="133"/>
      <c r="IT114" s="133"/>
      <c r="IU114" s="133"/>
      <c r="IV114" s="133"/>
    </row>
    <row r="115" spans="1:256" s="132" customFormat="1" ht="13.8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GE115" s="133"/>
      <c r="GF115" s="133"/>
      <c r="GG115" s="133"/>
      <c r="GH115" s="133"/>
      <c r="GI115" s="133"/>
      <c r="GJ115" s="133"/>
      <c r="GK115" s="133"/>
      <c r="GL115" s="133"/>
      <c r="GM115" s="133"/>
      <c r="GN115" s="133"/>
      <c r="GO115" s="133"/>
      <c r="GP115" s="133"/>
      <c r="GQ115" s="133"/>
      <c r="GR115" s="133"/>
      <c r="GS115" s="133"/>
      <c r="GT115" s="133"/>
      <c r="GU115" s="133"/>
      <c r="GV115" s="133"/>
      <c r="GW115" s="133"/>
      <c r="GX115" s="133"/>
      <c r="GY115" s="133"/>
      <c r="GZ115" s="133"/>
      <c r="HA115" s="133"/>
      <c r="HB115" s="133"/>
      <c r="HC115" s="133"/>
      <c r="HD115" s="133"/>
      <c r="HE115" s="133"/>
      <c r="HF115" s="133"/>
      <c r="HG115" s="133"/>
      <c r="HH115" s="133"/>
      <c r="HI115" s="133"/>
      <c r="HJ115" s="133"/>
      <c r="HK115" s="133"/>
      <c r="HL115" s="133"/>
      <c r="HM115" s="133"/>
      <c r="HN115" s="133"/>
      <c r="HO115" s="133"/>
      <c r="HP115" s="133"/>
      <c r="HQ115" s="133"/>
      <c r="HR115" s="133"/>
      <c r="HS115" s="133"/>
      <c r="HT115" s="133"/>
      <c r="HU115" s="133"/>
      <c r="HV115" s="133"/>
      <c r="HW115" s="133"/>
      <c r="HX115" s="133"/>
      <c r="HY115" s="133"/>
      <c r="HZ115" s="133"/>
      <c r="IA115" s="133"/>
      <c r="IB115" s="133"/>
      <c r="IC115" s="133"/>
      <c r="ID115" s="133"/>
      <c r="IE115" s="133"/>
      <c r="IF115" s="133"/>
      <c r="IG115" s="133"/>
      <c r="IH115" s="133"/>
      <c r="II115" s="133"/>
      <c r="IJ115" s="133"/>
      <c r="IK115" s="133"/>
      <c r="IL115" s="133"/>
      <c r="IM115" s="133"/>
      <c r="IN115" s="133"/>
      <c r="IO115" s="133"/>
      <c r="IP115" s="133"/>
      <c r="IQ115" s="133"/>
      <c r="IR115" s="133"/>
      <c r="IS115" s="133"/>
      <c r="IT115" s="133"/>
      <c r="IU115" s="133"/>
      <c r="IV115" s="133"/>
    </row>
    <row r="116" spans="1:256" s="132" customFormat="1" ht="13.8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GE116" s="133"/>
      <c r="GF116" s="133"/>
      <c r="GG116" s="133"/>
      <c r="GH116" s="133"/>
      <c r="GI116" s="133"/>
      <c r="GJ116" s="133"/>
      <c r="GK116" s="133"/>
      <c r="GL116" s="133"/>
      <c r="GM116" s="133"/>
      <c r="GN116" s="133"/>
      <c r="GO116" s="133"/>
      <c r="GP116" s="133"/>
      <c r="GQ116" s="133"/>
      <c r="GR116" s="133"/>
      <c r="GS116" s="133"/>
      <c r="GT116" s="133"/>
      <c r="GU116" s="133"/>
      <c r="GV116" s="133"/>
      <c r="GW116" s="133"/>
      <c r="GX116" s="133"/>
      <c r="GY116" s="133"/>
      <c r="GZ116" s="133"/>
      <c r="HA116" s="133"/>
      <c r="HB116" s="133"/>
      <c r="HC116" s="133"/>
      <c r="HD116" s="133"/>
      <c r="HE116" s="133"/>
      <c r="HF116" s="133"/>
      <c r="HG116" s="133"/>
      <c r="HH116" s="133"/>
      <c r="HI116" s="133"/>
      <c r="HJ116" s="133"/>
      <c r="HK116" s="133"/>
      <c r="HL116" s="133"/>
      <c r="HM116" s="133"/>
      <c r="HN116" s="133"/>
      <c r="HO116" s="133"/>
      <c r="HP116" s="133"/>
      <c r="HQ116" s="133"/>
      <c r="HR116" s="133"/>
      <c r="HS116" s="133"/>
      <c r="HT116" s="133"/>
      <c r="HU116" s="133"/>
      <c r="HV116" s="133"/>
      <c r="HW116" s="133"/>
      <c r="HX116" s="133"/>
      <c r="HY116" s="133"/>
      <c r="HZ116" s="133"/>
      <c r="IA116" s="133"/>
      <c r="IB116" s="133"/>
      <c r="IC116" s="133"/>
      <c r="ID116" s="133"/>
      <c r="IE116" s="133"/>
      <c r="IF116" s="133"/>
      <c r="IG116" s="133"/>
      <c r="IH116" s="133"/>
      <c r="II116" s="133"/>
      <c r="IJ116" s="133"/>
      <c r="IK116" s="133"/>
      <c r="IL116" s="133"/>
      <c r="IM116" s="133"/>
      <c r="IN116" s="133"/>
      <c r="IO116" s="133"/>
      <c r="IP116" s="133"/>
      <c r="IQ116" s="133"/>
      <c r="IR116" s="133"/>
      <c r="IS116" s="133"/>
      <c r="IT116" s="133"/>
      <c r="IU116" s="133"/>
      <c r="IV116" s="133"/>
    </row>
    <row r="117" spans="1:256" s="132" customFormat="1" ht="13.8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GE117" s="133"/>
      <c r="GF117" s="133"/>
      <c r="GG117" s="133"/>
      <c r="GH117" s="133"/>
      <c r="GI117" s="133"/>
      <c r="GJ117" s="133"/>
      <c r="GK117" s="133"/>
      <c r="GL117" s="133"/>
      <c r="GM117" s="133"/>
      <c r="GN117" s="133"/>
      <c r="GO117" s="133"/>
      <c r="GP117" s="133"/>
      <c r="GQ117" s="133"/>
      <c r="GR117" s="133"/>
      <c r="GS117" s="133"/>
      <c r="GT117" s="133"/>
      <c r="GU117" s="133"/>
      <c r="GV117" s="133"/>
      <c r="GW117" s="133"/>
      <c r="GX117" s="133"/>
      <c r="GY117" s="133"/>
      <c r="GZ117" s="133"/>
      <c r="HA117" s="133"/>
      <c r="HB117" s="133"/>
      <c r="HC117" s="133"/>
      <c r="HD117" s="133"/>
      <c r="HE117" s="133"/>
      <c r="HF117" s="133"/>
      <c r="HG117" s="133"/>
      <c r="HH117" s="133"/>
      <c r="HI117" s="133"/>
      <c r="HJ117" s="133"/>
      <c r="HK117" s="133"/>
      <c r="HL117" s="133"/>
      <c r="HM117" s="133"/>
      <c r="HN117" s="133"/>
      <c r="HO117" s="133"/>
      <c r="HP117" s="133"/>
      <c r="HQ117" s="133"/>
      <c r="HR117" s="133"/>
      <c r="HS117" s="133"/>
      <c r="HT117" s="133"/>
      <c r="HU117" s="133"/>
      <c r="HV117" s="133"/>
      <c r="HW117" s="133"/>
      <c r="HX117" s="133"/>
      <c r="HY117" s="133"/>
      <c r="HZ117" s="133"/>
      <c r="IA117" s="133"/>
      <c r="IB117" s="133"/>
      <c r="IC117" s="133"/>
      <c r="ID117" s="133"/>
      <c r="IE117" s="133"/>
      <c r="IF117" s="133"/>
      <c r="IG117" s="133"/>
      <c r="IH117" s="133"/>
      <c r="II117" s="133"/>
      <c r="IJ117" s="133"/>
      <c r="IK117" s="133"/>
      <c r="IL117" s="133"/>
      <c r="IM117" s="133"/>
      <c r="IN117" s="133"/>
      <c r="IO117" s="133"/>
      <c r="IP117" s="133"/>
      <c r="IQ117" s="133"/>
      <c r="IR117" s="133"/>
      <c r="IS117" s="133"/>
      <c r="IT117" s="133"/>
      <c r="IU117" s="133"/>
      <c r="IV117" s="133"/>
    </row>
    <row r="118" spans="1:256" s="132" customFormat="1" ht="13.8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GE118" s="133"/>
      <c r="GF118" s="133"/>
      <c r="GG118" s="133"/>
      <c r="GH118" s="133"/>
      <c r="GI118" s="133"/>
      <c r="GJ118" s="133"/>
      <c r="GK118" s="133"/>
      <c r="GL118" s="133"/>
      <c r="GM118" s="133"/>
      <c r="GN118" s="133"/>
      <c r="GO118" s="133"/>
      <c r="GP118" s="133"/>
      <c r="GQ118" s="133"/>
      <c r="GR118" s="133"/>
      <c r="GS118" s="133"/>
      <c r="GT118" s="133"/>
      <c r="GU118" s="133"/>
      <c r="GV118" s="133"/>
      <c r="GW118" s="133"/>
      <c r="GX118" s="133"/>
      <c r="GY118" s="133"/>
      <c r="GZ118" s="133"/>
      <c r="HA118" s="133"/>
      <c r="HB118" s="133"/>
      <c r="HC118" s="133"/>
      <c r="HD118" s="133"/>
      <c r="HE118" s="133"/>
      <c r="HF118" s="133"/>
      <c r="HG118" s="133"/>
      <c r="HH118" s="133"/>
      <c r="HI118" s="133"/>
      <c r="HJ118" s="133"/>
      <c r="HK118" s="133"/>
      <c r="HL118" s="133"/>
      <c r="HM118" s="133"/>
      <c r="HN118" s="133"/>
      <c r="HO118" s="133"/>
      <c r="HP118" s="133"/>
      <c r="HQ118" s="133"/>
      <c r="HR118" s="133"/>
      <c r="HS118" s="133"/>
      <c r="HT118" s="133"/>
      <c r="HU118" s="133"/>
      <c r="HV118" s="133"/>
      <c r="HW118" s="133"/>
      <c r="HX118" s="133"/>
      <c r="HY118" s="133"/>
      <c r="HZ118" s="133"/>
      <c r="IA118" s="133"/>
      <c r="IB118" s="133"/>
      <c r="IC118" s="133"/>
      <c r="ID118" s="133"/>
      <c r="IE118" s="133"/>
      <c r="IF118" s="133"/>
      <c r="IG118" s="133"/>
      <c r="IH118" s="133"/>
      <c r="II118" s="133"/>
      <c r="IJ118" s="133"/>
      <c r="IK118" s="133"/>
      <c r="IL118" s="133"/>
      <c r="IM118" s="133"/>
      <c r="IN118" s="133"/>
      <c r="IO118" s="133"/>
      <c r="IP118" s="133"/>
      <c r="IQ118" s="133"/>
      <c r="IR118" s="133"/>
      <c r="IS118" s="133"/>
      <c r="IT118" s="133"/>
      <c r="IU118" s="133"/>
      <c r="IV118" s="133"/>
    </row>
    <row r="119" spans="1:256" s="132" customFormat="1" ht="13.8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GE119" s="133"/>
      <c r="GF119" s="133"/>
      <c r="GG119" s="133"/>
      <c r="GH119" s="133"/>
      <c r="GI119" s="133"/>
      <c r="GJ119" s="133"/>
      <c r="GK119" s="133"/>
      <c r="GL119" s="133"/>
      <c r="GM119" s="133"/>
      <c r="GN119" s="133"/>
      <c r="GO119" s="133"/>
      <c r="GP119" s="133"/>
      <c r="GQ119" s="133"/>
      <c r="GR119" s="133"/>
      <c r="GS119" s="133"/>
      <c r="GT119" s="133"/>
      <c r="GU119" s="133"/>
      <c r="GV119" s="133"/>
      <c r="GW119" s="133"/>
      <c r="GX119" s="133"/>
      <c r="GY119" s="133"/>
      <c r="GZ119" s="133"/>
      <c r="HA119" s="133"/>
      <c r="HB119" s="133"/>
      <c r="HC119" s="133"/>
      <c r="HD119" s="133"/>
      <c r="HE119" s="133"/>
      <c r="HF119" s="133"/>
      <c r="HG119" s="133"/>
      <c r="HH119" s="133"/>
      <c r="HI119" s="133"/>
      <c r="HJ119" s="133"/>
      <c r="HK119" s="133"/>
      <c r="HL119" s="133"/>
      <c r="HM119" s="133"/>
      <c r="HN119" s="133"/>
      <c r="HO119" s="133"/>
      <c r="HP119" s="133"/>
      <c r="HQ119" s="133"/>
      <c r="HR119" s="133"/>
      <c r="HS119" s="133"/>
      <c r="HT119" s="133"/>
      <c r="HU119" s="133"/>
      <c r="HV119" s="133"/>
      <c r="HW119" s="133"/>
      <c r="HX119" s="133"/>
      <c r="HY119" s="133"/>
      <c r="HZ119" s="133"/>
      <c r="IA119" s="133"/>
      <c r="IB119" s="133"/>
      <c r="IC119" s="133"/>
      <c r="ID119" s="133"/>
      <c r="IE119" s="133"/>
      <c r="IF119" s="133"/>
      <c r="IG119" s="133"/>
      <c r="IH119" s="133"/>
      <c r="II119" s="133"/>
      <c r="IJ119" s="133"/>
      <c r="IK119" s="133"/>
      <c r="IL119" s="133"/>
      <c r="IM119" s="133"/>
      <c r="IN119" s="133"/>
      <c r="IO119" s="133"/>
      <c r="IP119" s="133"/>
      <c r="IQ119" s="133"/>
      <c r="IR119" s="133"/>
      <c r="IS119" s="133"/>
      <c r="IT119" s="133"/>
      <c r="IU119" s="133"/>
      <c r="IV119" s="133"/>
    </row>
    <row r="120" spans="1:256" s="132" customFormat="1" ht="13.8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GE120" s="133"/>
      <c r="GF120" s="133"/>
      <c r="GG120" s="133"/>
      <c r="GH120" s="133"/>
      <c r="GI120" s="133"/>
      <c r="GJ120" s="133"/>
      <c r="GK120" s="133"/>
      <c r="GL120" s="133"/>
      <c r="GM120" s="133"/>
      <c r="GN120" s="133"/>
      <c r="GO120" s="133"/>
      <c r="GP120" s="133"/>
      <c r="GQ120" s="133"/>
      <c r="GR120" s="133"/>
      <c r="GS120" s="133"/>
      <c r="GT120" s="133"/>
      <c r="GU120" s="133"/>
      <c r="GV120" s="133"/>
      <c r="GW120" s="133"/>
      <c r="GX120" s="133"/>
      <c r="GY120" s="133"/>
      <c r="GZ120" s="133"/>
      <c r="HA120" s="133"/>
      <c r="HB120" s="133"/>
      <c r="HC120" s="133"/>
      <c r="HD120" s="133"/>
      <c r="HE120" s="133"/>
      <c r="HF120" s="133"/>
      <c r="HG120" s="133"/>
      <c r="HH120" s="133"/>
      <c r="HI120" s="133"/>
      <c r="HJ120" s="133"/>
      <c r="HK120" s="133"/>
      <c r="HL120" s="133"/>
      <c r="HM120" s="133"/>
      <c r="HN120" s="133"/>
      <c r="HO120" s="133"/>
      <c r="HP120" s="133"/>
      <c r="HQ120" s="133"/>
      <c r="HR120" s="133"/>
      <c r="HS120" s="133"/>
      <c r="HT120" s="133"/>
      <c r="HU120" s="133"/>
      <c r="HV120" s="133"/>
      <c r="HW120" s="133"/>
      <c r="HX120" s="133"/>
      <c r="HY120" s="133"/>
      <c r="HZ120" s="133"/>
      <c r="IA120" s="133"/>
      <c r="IB120" s="133"/>
      <c r="IC120" s="133"/>
      <c r="ID120" s="133"/>
      <c r="IE120" s="133"/>
      <c r="IF120" s="133"/>
      <c r="IG120" s="133"/>
      <c r="IH120" s="133"/>
      <c r="II120" s="133"/>
      <c r="IJ120" s="133"/>
      <c r="IK120" s="133"/>
      <c r="IL120" s="133"/>
      <c r="IM120" s="133"/>
      <c r="IN120" s="133"/>
      <c r="IO120" s="133"/>
      <c r="IP120" s="133"/>
      <c r="IQ120" s="133"/>
      <c r="IR120" s="133"/>
      <c r="IS120" s="133"/>
      <c r="IT120" s="133"/>
      <c r="IU120" s="133"/>
      <c r="IV120" s="133"/>
    </row>
    <row r="121" spans="1:256" s="132" customFormat="1" ht="13.8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GE121" s="133"/>
      <c r="GF121" s="133"/>
      <c r="GG121" s="133"/>
      <c r="GH121" s="133"/>
      <c r="GI121" s="133"/>
      <c r="GJ121" s="133"/>
      <c r="GK121" s="133"/>
      <c r="GL121" s="133"/>
      <c r="GM121" s="133"/>
      <c r="GN121" s="133"/>
      <c r="GO121" s="133"/>
      <c r="GP121" s="133"/>
      <c r="GQ121" s="133"/>
      <c r="GR121" s="133"/>
      <c r="GS121" s="133"/>
      <c r="GT121" s="133"/>
      <c r="GU121" s="133"/>
      <c r="GV121" s="133"/>
      <c r="GW121" s="133"/>
      <c r="GX121" s="133"/>
      <c r="GY121" s="133"/>
      <c r="GZ121" s="133"/>
      <c r="HA121" s="133"/>
      <c r="HB121" s="133"/>
      <c r="HC121" s="133"/>
      <c r="HD121" s="133"/>
      <c r="HE121" s="133"/>
      <c r="HF121" s="133"/>
      <c r="HG121" s="133"/>
      <c r="HH121" s="133"/>
      <c r="HI121" s="133"/>
      <c r="HJ121" s="133"/>
      <c r="HK121" s="133"/>
      <c r="HL121" s="133"/>
      <c r="HM121" s="133"/>
      <c r="HN121" s="133"/>
      <c r="HO121" s="133"/>
      <c r="HP121" s="133"/>
      <c r="HQ121" s="133"/>
      <c r="HR121" s="133"/>
      <c r="HS121" s="133"/>
      <c r="HT121" s="133"/>
      <c r="HU121" s="133"/>
      <c r="HV121" s="133"/>
      <c r="HW121" s="133"/>
      <c r="HX121" s="133"/>
      <c r="HY121" s="133"/>
      <c r="HZ121" s="133"/>
      <c r="IA121" s="133"/>
      <c r="IB121" s="133"/>
      <c r="IC121" s="133"/>
      <c r="ID121" s="133"/>
      <c r="IE121" s="133"/>
      <c r="IF121" s="133"/>
      <c r="IG121" s="133"/>
      <c r="IH121" s="133"/>
      <c r="II121" s="133"/>
      <c r="IJ121" s="133"/>
      <c r="IK121" s="133"/>
      <c r="IL121" s="133"/>
      <c r="IM121" s="133"/>
      <c r="IN121" s="133"/>
      <c r="IO121" s="133"/>
      <c r="IP121" s="133"/>
      <c r="IQ121" s="133"/>
      <c r="IR121" s="133"/>
      <c r="IS121" s="133"/>
      <c r="IT121" s="133"/>
      <c r="IU121" s="133"/>
      <c r="IV121" s="133"/>
    </row>
    <row r="122" spans="1:256" s="132" customFormat="1" ht="13.8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GE122" s="133"/>
      <c r="GF122" s="133"/>
      <c r="GG122" s="133"/>
      <c r="GH122" s="133"/>
      <c r="GI122" s="133"/>
      <c r="GJ122" s="133"/>
      <c r="GK122" s="133"/>
      <c r="GL122" s="133"/>
      <c r="GM122" s="133"/>
      <c r="GN122" s="133"/>
      <c r="GO122" s="133"/>
      <c r="GP122" s="133"/>
      <c r="GQ122" s="133"/>
      <c r="GR122" s="133"/>
      <c r="GS122" s="133"/>
      <c r="GT122" s="133"/>
      <c r="GU122" s="133"/>
      <c r="GV122" s="133"/>
      <c r="GW122" s="133"/>
      <c r="GX122" s="133"/>
      <c r="GY122" s="133"/>
      <c r="GZ122" s="133"/>
      <c r="HA122" s="133"/>
      <c r="HB122" s="133"/>
      <c r="HC122" s="133"/>
      <c r="HD122" s="133"/>
      <c r="HE122" s="133"/>
      <c r="HF122" s="133"/>
      <c r="HG122" s="133"/>
      <c r="HH122" s="133"/>
      <c r="HI122" s="133"/>
      <c r="HJ122" s="133"/>
      <c r="HK122" s="133"/>
      <c r="HL122" s="133"/>
      <c r="HM122" s="133"/>
      <c r="HN122" s="133"/>
      <c r="HO122" s="133"/>
      <c r="HP122" s="133"/>
      <c r="HQ122" s="133"/>
      <c r="HR122" s="133"/>
      <c r="HS122" s="133"/>
      <c r="HT122" s="133"/>
      <c r="HU122" s="133"/>
      <c r="HV122" s="133"/>
      <c r="HW122" s="133"/>
      <c r="HX122" s="133"/>
      <c r="HY122" s="133"/>
      <c r="HZ122" s="133"/>
      <c r="IA122" s="133"/>
      <c r="IB122" s="133"/>
      <c r="IC122" s="133"/>
      <c r="ID122" s="133"/>
      <c r="IE122" s="133"/>
      <c r="IF122" s="133"/>
      <c r="IG122" s="133"/>
      <c r="IH122" s="133"/>
      <c r="II122" s="133"/>
      <c r="IJ122" s="133"/>
      <c r="IK122" s="133"/>
      <c r="IL122" s="133"/>
      <c r="IM122" s="133"/>
      <c r="IN122" s="133"/>
      <c r="IO122" s="133"/>
      <c r="IP122" s="133"/>
      <c r="IQ122" s="133"/>
      <c r="IR122" s="133"/>
      <c r="IS122" s="133"/>
      <c r="IT122" s="133"/>
      <c r="IU122" s="133"/>
      <c r="IV122" s="133"/>
    </row>
    <row r="123" spans="1:256" s="132" customFormat="1" ht="13.8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GE123" s="133"/>
      <c r="GF123" s="133"/>
      <c r="GG123" s="133"/>
      <c r="GH123" s="133"/>
      <c r="GI123" s="133"/>
      <c r="GJ123" s="133"/>
      <c r="GK123" s="133"/>
      <c r="GL123" s="133"/>
      <c r="GM123" s="133"/>
      <c r="GN123" s="133"/>
      <c r="GO123" s="133"/>
      <c r="GP123" s="133"/>
      <c r="GQ123" s="133"/>
      <c r="GR123" s="133"/>
      <c r="GS123" s="133"/>
      <c r="GT123" s="133"/>
      <c r="GU123" s="133"/>
      <c r="GV123" s="133"/>
      <c r="GW123" s="133"/>
      <c r="GX123" s="133"/>
      <c r="GY123" s="133"/>
      <c r="GZ123" s="133"/>
      <c r="HA123" s="133"/>
      <c r="HB123" s="133"/>
      <c r="HC123" s="133"/>
      <c r="HD123" s="133"/>
      <c r="HE123" s="133"/>
      <c r="HF123" s="133"/>
      <c r="HG123" s="133"/>
      <c r="HH123" s="133"/>
      <c r="HI123" s="133"/>
      <c r="HJ123" s="133"/>
      <c r="HK123" s="133"/>
      <c r="HL123" s="133"/>
      <c r="HM123" s="133"/>
      <c r="HN123" s="133"/>
      <c r="HO123" s="133"/>
      <c r="HP123" s="133"/>
      <c r="HQ123" s="133"/>
      <c r="HR123" s="133"/>
      <c r="HS123" s="133"/>
      <c r="HT123" s="133"/>
      <c r="HU123" s="133"/>
      <c r="HV123" s="133"/>
      <c r="HW123" s="133"/>
      <c r="HX123" s="133"/>
      <c r="HY123" s="133"/>
      <c r="HZ123" s="133"/>
      <c r="IA123" s="133"/>
      <c r="IB123" s="133"/>
      <c r="IC123" s="133"/>
      <c r="ID123" s="133"/>
      <c r="IE123" s="133"/>
      <c r="IF123" s="133"/>
      <c r="IG123" s="133"/>
      <c r="IH123" s="133"/>
      <c r="II123" s="133"/>
      <c r="IJ123" s="133"/>
      <c r="IK123" s="133"/>
      <c r="IL123" s="133"/>
      <c r="IM123" s="133"/>
      <c r="IN123" s="133"/>
      <c r="IO123" s="133"/>
      <c r="IP123" s="133"/>
      <c r="IQ123" s="133"/>
      <c r="IR123" s="133"/>
      <c r="IS123" s="133"/>
      <c r="IT123" s="133"/>
      <c r="IU123" s="133"/>
      <c r="IV123" s="133"/>
    </row>
    <row r="124" spans="1:256" s="132" customFormat="1" ht="13.8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GE124" s="133"/>
      <c r="GF124" s="133"/>
      <c r="GG124" s="133"/>
      <c r="GH124" s="133"/>
      <c r="GI124" s="133"/>
      <c r="GJ124" s="133"/>
      <c r="GK124" s="133"/>
      <c r="GL124" s="133"/>
      <c r="GM124" s="133"/>
      <c r="GN124" s="133"/>
      <c r="GO124" s="133"/>
      <c r="GP124" s="133"/>
      <c r="GQ124" s="133"/>
      <c r="GR124" s="133"/>
      <c r="GS124" s="133"/>
      <c r="GT124" s="133"/>
      <c r="GU124" s="133"/>
      <c r="GV124" s="133"/>
      <c r="GW124" s="133"/>
      <c r="GX124" s="133"/>
      <c r="GY124" s="133"/>
      <c r="GZ124" s="133"/>
      <c r="HA124" s="133"/>
      <c r="HB124" s="133"/>
      <c r="HC124" s="133"/>
      <c r="HD124" s="133"/>
      <c r="HE124" s="133"/>
      <c r="HF124" s="133"/>
      <c r="HG124" s="133"/>
      <c r="HH124" s="133"/>
      <c r="HI124" s="133"/>
      <c r="HJ124" s="133"/>
      <c r="HK124" s="133"/>
      <c r="HL124" s="133"/>
      <c r="HM124" s="133"/>
      <c r="HN124" s="133"/>
      <c r="HO124" s="133"/>
      <c r="HP124" s="133"/>
      <c r="HQ124" s="133"/>
      <c r="HR124" s="133"/>
      <c r="HS124" s="133"/>
      <c r="HT124" s="133"/>
      <c r="HU124" s="133"/>
      <c r="HV124" s="133"/>
      <c r="HW124" s="133"/>
      <c r="HX124" s="133"/>
      <c r="HY124" s="133"/>
      <c r="HZ124" s="133"/>
      <c r="IA124" s="133"/>
      <c r="IB124" s="133"/>
      <c r="IC124" s="133"/>
      <c r="ID124" s="133"/>
      <c r="IE124" s="133"/>
      <c r="IF124" s="133"/>
      <c r="IG124" s="133"/>
      <c r="IH124" s="133"/>
      <c r="II124" s="133"/>
      <c r="IJ124" s="133"/>
      <c r="IK124" s="133"/>
      <c r="IL124" s="133"/>
      <c r="IM124" s="133"/>
      <c r="IN124" s="133"/>
      <c r="IO124" s="133"/>
      <c r="IP124" s="133"/>
      <c r="IQ124" s="133"/>
      <c r="IR124" s="133"/>
      <c r="IS124" s="133"/>
      <c r="IT124" s="133"/>
      <c r="IU124" s="133"/>
      <c r="IV124" s="133"/>
    </row>
    <row r="125" spans="1:256" s="132" customFormat="1" ht="13.8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GE125" s="133"/>
      <c r="GF125" s="133"/>
      <c r="GG125" s="133"/>
      <c r="GH125" s="133"/>
      <c r="GI125" s="133"/>
      <c r="GJ125" s="133"/>
      <c r="GK125" s="133"/>
      <c r="GL125" s="133"/>
      <c r="GM125" s="133"/>
      <c r="GN125" s="133"/>
      <c r="GO125" s="133"/>
      <c r="GP125" s="133"/>
      <c r="GQ125" s="133"/>
      <c r="GR125" s="133"/>
      <c r="GS125" s="133"/>
      <c r="GT125" s="133"/>
      <c r="GU125" s="133"/>
      <c r="GV125" s="133"/>
      <c r="GW125" s="133"/>
      <c r="GX125" s="133"/>
      <c r="GY125" s="133"/>
      <c r="GZ125" s="133"/>
      <c r="HA125" s="133"/>
      <c r="HB125" s="133"/>
      <c r="HC125" s="133"/>
      <c r="HD125" s="133"/>
      <c r="HE125" s="133"/>
      <c r="HF125" s="133"/>
      <c r="HG125" s="133"/>
      <c r="HH125" s="133"/>
      <c r="HI125" s="133"/>
      <c r="HJ125" s="133"/>
      <c r="HK125" s="133"/>
      <c r="HL125" s="133"/>
      <c r="HM125" s="133"/>
      <c r="HN125" s="133"/>
      <c r="HO125" s="133"/>
      <c r="HP125" s="133"/>
      <c r="HQ125" s="133"/>
      <c r="HR125" s="133"/>
      <c r="HS125" s="133"/>
      <c r="HT125" s="133"/>
      <c r="HU125" s="133"/>
      <c r="HV125" s="133"/>
      <c r="HW125" s="133"/>
      <c r="HX125" s="133"/>
      <c r="HY125" s="133"/>
      <c r="HZ125" s="133"/>
      <c r="IA125" s="133"/>
      <c r="IB125" s="133"/>
      <c r="IC125" s="133"/>
      <c r="ID125" s="133"/>
      <c r="IE125" s="133"/>
      <c r="IF125" s="133"/>
      <c r="IG125" s="133"/>
      <c r="IH125" s="133"/>
      <c r="II125" s="133"/>
      <c r="IJ125" s="133"/>
      <c r="IK125" s="133"/>
      <c r="IL125" s="133"/>
      <c r="IM125" s="133"/>
      <c r="IN125" s="133"/>
      <c r="IO125" s="133"/>
      <c r="IP125" s="133"/>
      <c r="IQ125" s="133"/>
      <c r="IR125" s="133"/>
      <c r="IS125" s="133"/>
      <c r="IT125" s="133"/>
      <c r="IU125" s="133"/>
      <c r="IV125" s="133"/>
    </row>
    <row r="126" spans="1:256" s="132" customFormat="1" ht="13.8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GE126" s="133"/>
      <c r="GF126" s="133"/>
      <c r="GG126" s="133"/>
      <c r="GH126" s="133"/>
      <c r="GI126" s="133"/>
      <c r="GJ126" s="133"/>
      <c r="GK126" s="133"/>
      <c r="GL126" s="133"/>
      <c r="GM126" s="133"/>
      <c r="GN126" s="133"/>
      <c r="GO126" s="133"/>
      <c r="GP126" s="133"/>
      <c r="GQ126" s="133"/>
      <c r="GR126" s="133"/>
      <c r="GS126" s="133"/>
      <c r="GT126" s="133"/>
      <c r="GU126" s="133"/>
      <c r="GV126" s="133"/>
      <c r="GW126" s="133"/>
      <c r="GX126" s="133"/>
      <c r="GY126" s="133"/>
      <c r="GZ126" s="133"/>
      <c r="HA126" s="133"/>
      <c r="HB126" s="133"/>
      <c r="HC126" s="133"/>
      <c r="HD126" s="133"/>
      <c r="HE126" s="133"/>
      <c r="HF126" s="133"/>
      <c r="HG126" s="133"/>
      <c r="HH126" s="133"/>
      <c r="HI126" s="133"/>
      <c r="HJ126" s="133"/>
      <c r="HK126" s="133"/>
      <c r="HL126" s="133"/>
      <c r="HM126" s="133"/>
      <c r="HN126" s="133"/>
      <c r="HO126" s="133"/>
      <c r="HP126" s="133"/>
      <c r="HQ126" s="133"/>
      <c r="HR126" s="133"/>
      <c r="HS126" s="133"/>
      <c r="HT126" s="133"/>
      <c r="HU126" s="133"/>
      <c r="HV126" s="133"/>
      <c r="HW126" s="133"/>
      <c r="HX126" s="133"/>
      <c r="HY126" s="133"/>
      <c r="HZ126" s="133"/>
      <c r="IA126" s="133"/>
      <c r="IB126" s="133"/>
      <c r="IC126" s="133"/>
      <c r="ID126" s="133"/>
      <c r="IE126" s="133"/>
      <c r="IF126" s="133"/>
      <c r="IG126" s="133"/>
      <c r="IH126" s="133"/>
      <c r="II126" s="133"/>
      <c r="IJ126" s="133"/>
      <c r="IK126" s="133"/>
      <c r="IL126" s="133"/>
      <c r="IM126" s="133"/>
      <c r="IN126" s="133"/>
      <c r="IO126" s="133"/>
      <c r="IP126" s="133"/>
      <c r="IQ126" s="133"/>
      <c r="IR126" s="133"/>
      <c r="IS126" s="133"/>
      <c r="IT126" s="133"/>
      <c r="IU126" s="133"/>
      <c r="IV126" s="133"/>
    </row>
    <row r="127" spans="1:256" s="132" customFormat="1" ht="13.8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GE127" s="133"/>
      <c r="GF127" s="133"/>
      <c r="GG127" s="133"/>
      <c r="GH127" s="133"/>
      <c r="GI127" s="133"/>
      <c r="GJ127" s="133"/>
      <c r="GK127" s="133"/>
      <c r="GL127" s="133"/>
      <c r="GM127" s="133"/>
      <c r="GN127" s="133"/>
      <c r="GO127" s="133"/>
      <c r="GP127" s="133"/>
      <c r="GQ127" s="133"/>
      <c r="GR127" s="133"/>
      <c r="GS127" s="133"/>
      <c r="GT127" s="133"/>
      <c r="GU127" s="133"/>
      <c r="GV127" s="133"/>
      <c r="GW127" s="133"/>
      <c r="GX127" s="133"/>
      <c r="GY127" s="133"/>
      <c r="GZ127" s="133"/>
      <c r="HA127" s="133"/>
      <c r="HB127" s="133"/>
      <c r="HC127" s="133"/>
      <c r="HD127" s="133"/>
      <c r="HE127" s="133"/>
      <c r="HF127" s="133"/>
      <c r="HG127" s="133"/>
      <c r="HH127" s="133"/>
      <c r="HI127" s="133"/>
      <c r="HJ127" s="133"/>
      <c r="HK127" s="133"/>
      <c r="HL127" s="133"/>
      <c r="HM127" s="133"/>
      <c r="HN127" s="133"/>
      <c r="HO127" s="133"/>
      <c r="HP127" s="133"/>
      <c r="HQ127" s="133"/>
      <c r="HR127" s="133"/>
      <c r="HS127" s="133"/>
      <c r="HT127" s="133"/>
      <c r="HU127" s="133"/>
      <c r="HV127" s="133"/>
      <c r="HW127" s="133"/>
      <c r="HX127" s="133"/>
      <c r="HY127" s="133"/>
      <c r="HZ127" s="133"/>
      <c r="IA127" s="133"/>
      <c r="IB127" s="133"/>
      <c r="IC127" s="133"/>
      <c r="ID127" s="133"/>
      <c r="IE127" s="133"/>
      <c r="IF127" s="133"/>
      <c r="IG127" s="133"/>
      <c r="IH127" s="133"/>
      <c r="II127" s="133"/>
      <c r="IJ127" s="133"/>
      <c r="IK127" s="133"/>
      <c r="IL127" s="133"/>
      <c r="IM127" s="133"/>
      <c r="IN127" s="133"/>
      <c r="IO127" s="133"/>
      <c r="IP127" s="133"/>
      <c r="IQ127" s="133"/>
      <c r="IR127" s="133"/>
      <c r="IS127" s="133"/>
      <c r="IT127" s="133"/>
      <c r="IU127" s="133"/>
      <c r="IV127" s="133"/>
    </row>
    <row r="128" spans="1:256" s="132" customFormat="1" ht="13.8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GE128" s="133"/>
      <c r="GF128" s="133"/>
      <c r="GG128" s="133"/>
      <c r="GH128" s="133"/>
      <c r="GI128" s="133"/>
      <c r="GJ128" s="133"/>
      <c r="GK128" s="133"/>
      <c r="GL128" s="133"/>
      <c r="GM128" s="133"/>
      <c r="GN128" s="133"/>
      <c r="GO128" s="133"/>
      <c r="GP128" s="133"/>
      <c r="GQ128" s="133"/>
      <c r="GR128" s="133"/>
      <c r="GS128" s="133"/>
      <c r="GT128" s="133"/>
      <c r="GU128" s="133"/>
      <c r="GV128" s="133"/>
      <c r="GW128" s="133"/>
      <c r="GX128" s="133"/>
      <c r="GY128" s="133"/>
      <c r="GZ128" s="133"/>
      <c r="HA128" s="133"/>
      <c r="HB128" s="133"/>
      <c r="HC128" s="133"/>
      <c r="HD128" s="133"/>
      <c r="HE128" s="133"/>
      <c r="HF128" s="133"/>
      <c r="HG128" s="133"/>
      <c r="HH128" s="133"/>
      <c r="HI128" s="133"/>
      <c r="HJ128" s="133"/>
      <c r="HK128" s="133"/>
      <c r="HL128" s="133"/>
      <c r="HM128" s="133"/>
      <c r="HN128" s="133"/>
      <c r="HO128" s="133"/>
      <c r="HP128" s="133"/>
      <c r="HQ128" s="133"/>
      <c r="HR128" s="133"/>
      <c r="HS128" s="133"/>
      <c r="HT128" s="133"/>
      <c r="HU128" s="133"/>
      <c r="HV128" s="133"/>
      <c r="HW128" s="133"/>
      <c r="HX128" s="133"/>
      <c r="HY128" s="133"/>
      <c r="HZ128" s="133"/>
      <c r="IA128" s="133"/>
      <c r="IB128" s="133"/>
      <c r="IC128" s="133"/>
      <c r="ID128" s="133"/>
      <c r="IE128" s="133"/>
      <c r="IF128" s="133"/>
      <c r="IG128" s="133"/>
      <c r="IH128" s="133"/>
      <c r="II128" s="133"/>
      <c r="IJ128" s="133"/>
      <c r="IK128" s="133"/>
      <c r="IL128" s="133"/>
      <c r="IM128" s="133"/>
      <c r="IN128" s="133"/>
      <c r="IO128" s="133"/>
      <c r="IP128" s="133"/>
      <c r="IQ128" s="133"/>
      <c r="IR128" s="133"/>
      <c r="IS128" s="133"/>
      <c r="IT128" s="133"/>
      <c r="IU128" s="133"/>
      <c r="IV128" s="133"/>
    </row>
    <row r="129" spans="1:256" s="132" customFormat="1" ht="13.8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GE129" s="133"/>
      <c r="GF129" s="133"/>
      <c r="GG129" s="133"/>
      <c r="GH129" s="133"/>
      <c r="GI129" s="133"/>
      <c r="GJ129" s="133"/>
      <c r="GK129" s="133"/>
      <c r="GL129" s="133"/>
      <c r="GM129" s="133"/>
      <c r="GN129" s="133"/>
      <c r="GO129" s="133"/>
      <c r="GP129" s="133"/>
      <c r="GQ129" s="133"/>
      <c r="GR129" s="133"/>
      <c r="GS129" s="133"/>
      <c r="GT129" s="133"/>
      <c r="GU129" s="133"/>
      <c r="GV129" s="133"/>
      <c r="GW129" s="133"/>
      <c r="GX129" s="133"/>
      <c r="GY129" s="133"/>
      <c r="GZ129" s="133"/>
      <c r="HA129" s="133"/>
      <c r="HB129" s="133"/>
      <c r="HC129" s="133"/>
      <c r="HD129" s="133"/>
      <c r="HE129" s="133"/>
      <c r="HF129" s="133"/>
      <c r="HG129" s="133"/>
      <c r="HH129" s="133"/>
      <c r="HI129" s="133"/>
      <c r="HJ129" s="133"/>
      <c r="HK129" s="133"/>
      <c r="HL129" s="133"/>
      <c r="HM129" s="133"/>
      <c r="HN129" s="133"/>
      <c r="HO129" s="133"/>
      <c r="HP129" s="133"/>
      <c r="HQ129" s="133"/>
      <c r="HR129" s="133"/>
      <c r="HS129" s="133"/>
      <c r="HT129" s="133"/>
      <c r="HU129" s="133"/>
      <c r="HV129" s="133"/>
      <c r="HW129" s="133"/>
      <c r="HX129" s="133"/>
      <c r="HY129" s="133"/>
      <c r="HZ129" s="133"/>
      <c r="IA129" s="133"/>
      <c r="IB129" s="133"/>
      <c r="IC129" s="133"/>
      <c r="ID129" s="133"/>
      <c r="IE129" s="133"/>
      <c r="IF129" s="133"/>
      <c r="IG129" s="133"/>
      <c r="IH129" s="133"/>
      <c r="II129" s="133"/>
      <c r="IJ129" s="133"/>
      <c r="IK129" s="133"/>
      <c r="IL129" s="133"/>
      <c r="IM129" s="133"/>
      <c r="IN129" s="133"/>
      <c r="IO129" s="133"/>
      <c r="IP129" s="133"/>
      <c r="IQ129" s="133"/>
      <c r="IR129" s="133"/>
      <c r="IS129" s="133"/>
      <c r="IT129" s="133"/>
      <c r="IU129" s="133"/>
      <c r="IV129" s="133"/>
    </row>
    <row r="130" spans="1:256" s="132" customFormat="1" ht="13.8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GE130" s="133"/>
      <c r="GF130" s="133"/>
      <c r="GG130" s="133"/>
      <c r="GH130" s="133"/>
      <c r="GI130" s="133"/>
      <c r="GJ130" s="133"/>
      <c r="GK130" s="133"/>
      <c r="GL130" s="133"/>
      <c r="GM130" s="133"/>
      <c r="GN130" s="133"/>
      <c r="GO130" s="133"/>
      <c r="GP130" s="133"/>
      <c r="GQ130" s="133"/>
      <c r="GR130" s="133"/>
      <c r="GS130" s="133"/>
      <c r="GT130" s="133"/>
      <c r="GU130" s="133"/>
      <c r="GV130" s="133"/>
      <c r="GW130" s="133"/>
      <c r="GX130" s="133"/>
      <c r="GY130" s="133"/>
      <c r="GZ130" s="133"/>
      <c r="HA130" s="133"/>
      <c r="HB130" s="133"/>
      <c r="HC130" s="133"/>
      <c r="HD130" s="133"/>
      <c r="HE130" s="133"/>
      <c r="HF130" s="133"/>
      <c r="HG130" s="133"/>
      <c r="HH130" s="133"/>
      <c r="HI130" s="133"/>
      <c r="HJ130" s="133"/>
      <c r="HK130" s="133"/>
      <c r="HL130" s="133"/>
      <c r="HM130" s="133"/>
      <c r="HN130" s="133"/>
      <c r="HO130" s="133"/>
      <c r="HP130" s="133"/>
      <c r="HQ130" s="133"/>
      <c r="HR130" s="133"/>
      <c r="HS130" s="133"/>
      <c r="HT130" s="133"/>
      <c r="HU130" s="133"/>
      <c r="HV130" s="133"/>
      <c r="HW130" s="133"/>
      <c r="HX130" s="133"/>
      <c r="HY130" s="133"/>
      <c r="HZ130" s="133"/>
      <c r="IA130" s="133"/>
      <c r="IB130" s="133"/>
      <c r="IC130" s="133"/>
      <c r="ID130" s="133"/>
      <c r="IE130" s="133"/>
      <c r="IF130" s="133"/>
      <c r="IG130" s="133"/>
      <c r="IH130" s="133"/>
      <c r="II130" s="133"/>
      <c r="IJ130" s="133"/>
      <c r="IK130" s="133"/>
      <c r="IL130" s="133"/>
      <c r="IM130" s="133"/>
      <c r="IN130" s="133"/>
      <c r="IO130" s="133"/>
      <c r="IP130" s="133"/>
      <c r="IQ130" s="133"/>
      <c r="IR130" s="133"/>
      <c r="IS130" s="133"/>
      <c r="IT130" s="133"/>
      <c r="IU130" s="133"/>
      <c r="IV130" s="133"/>
    </row>
    <row r="131" spans="1:256" s="132" customFormat="1" ht="13.8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GE131" s="133"/>
      <c r="GF131" s="133"/>
      <c r="GG131" s="133"/>
      <c r="GH131" s="133"/>
      <c r="GI131" s="133"/>
      <c r="GJ131" s="133"/>
      <c r="GK131" s="133"/>
      <c r="GL131" s="133"/>
      <c r="GM131" s="133"/>
      <c r="GN131" s="133"/>
      <c r="GO131" s="133"/>
      <c r="GP131" s="133"/>
      <c r="GQ131" s="133"/>
      <c r="GR131" s="133"/>
      <c r="GS131" s="133"/>
      <c r="GT131" s="133"/>
      <c r="GU131" s="133"/>
      <c r="GV131" s="133"/>
      <c r="GW131" s="133"/>
      <c r="GX131" s="133"/>
      <c r="GY131" s="133"/>
      <c r="GZ131" s="133"/>
      <c r="HA131" s="133"/>
      <c r="HB131" s="133"/>
      <c r="HC131" s="133"/>
      <c r="HD131" s="133"/>
      <c r="HE131" s="133"/>
      <c r="HF131" s="133"/>
      <c r="HG131" s="133"/>
      <c r="HH131" s="133"/>
      <c r="HI131" s="133"/>
      <c r="HJ131" s="133"/>
      <c r="HK131" s="133"/>
      <c r="HL131" s="133"/>
      <c r="HM131" s="133"/>
      <c r="HN131" s="133"/>
      <c r="HO131" s="133"/>
      <c r="HP131" s="133"/>
      <c r="HQ131" s="133"/>
      <c r="HR131" s="133"/>
      <c r="HS131" s="133"/>
      <c r="HT131" s="133"/>
      <c r="HU131" s="133"/>
      <c r="HV131" s="133"/>
      <c r="HW131" s="133"/>
      <c r="HX131" s="133"/>
      <c r="HY131" s="133"/>
      <c r="HZ131" s="133"/>
      <c r="IA131" s="133"/>
      <c r="IB131" s="133"/>
      <c r="IC131" s="133"/>
      <c r="ID131" s="133"/>
      <c r="IE131" s="133"/>
      <c r="IF131" s="133"/>
      <c r="IG131" s="133"/>
      <c r="IH131" s="133"/>
      <c r="II131" s="133"/>
      <c r="IJ131" s="133"/>
      <c r="IK131" s="133"/>
      <c r="IL131" s="133"/>
      <c r="IM131" s="133"/>
      <c r="IN131" s="133"/>
      <c r="IO131" s="133"/>
      <c r="IP131" s="133"/>
      <c r="IQ131" s="133"/>
      <c r="IR131" s="133"/>
      <c r="IS131" s="133"/>
      <c r="IT131" s="133"/>
      <c r="IU131" s="133"/>
      <c r="IV131" s="133"/>
    </row>
    <row r="132" spans="1:256" s="132" customFormat="1" ht="13.8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GE132" s="133"/>
      <c r="GF132" s="133"/>
      <c r="GG132" s="133"/>
      <c r="GH132" s="133"/>
      <c r="GI132" s="133"/>
      <c r="GJ132" s="133"/>
      <c r="GK132" s="133"/>
      <c r="GL132" s="133"/>
      <c r="GM132" s="133"/>
      <c r="GN132" s="133"/>
      <c r="GO132" s="133"/>
      <c r="GP132" s="133"/>
      <c r="GQ132" s="133"/>
      <c r="GR132" s="133"/>
      <c r="GS132" s="133"/>
      <c r="GT132" s="133"/>
      <c r="GU132" s="133"/>
      <c r="GV132" s="133"/>
      <c r="GW132" s="133"/>
      <c r="GX132" s="133"/>
      <c r="GY132" s="133"/>
      <c r="GZ132" s="133"/>
      <c r="HA132" s="133"/>
      <c r="HB132" s="133"/>
      <c r="HC132" s="133"/>
      <c r="HD132" s="133"/>
      <c r="HE132" s="133"/>
      <c r="HF132" s="133"/>
      <c r="HG132" s="133"/>
      <c r="HH132" s="133"/>
      <c r="HI132" s="133"/>
      <c r="HJ132" s="133"/>
      <c r="HK132" s="133"/>
      <c r="HL132" s="133"/>
      <c r="HM132" s="133"/>
      <c r="HN132" s="133"/>
      <c r="HO132" s="133"/>
      <c r="HP132" s="133"/>
      <c r="HQ132" s="133"/>
      <c r="HR132" s="133"/>
      <c r="HS132" s="133"/>
      <c r="HT132" s="133"/>
      <c r="HU132" s="133"/>
      <c r="HV132" s="133"/>
      <c r="HW132" s="133"/>
      <c r="HX132" s="133"/>
      <c r="HY132" s="133"/>
      <c r="HZ132" s="133"/>
      <c r="IA132" s="133"/>
      <c r="IB132" s="133"/>
      <c r="IC132" s="133"/>
      <c r="ID132" s="133"/>
      <c r="IE132" s="133"/>
      <c r="IF132" s="133"/>
      <c r="IG132" s="133"/>
      <c r="IH132" s="133"/>
      <c r="II132" s="133"/>
      <c r="IJ132" s="133"/>
      <c r="IK132" s="133"/>
      <c r="IL132" s="133"/>
      <c r="IM132" s="133"/>
      <c r="IN132" s="133"/>
      <c r="IO132" s="133"/>
      <c r="IP132" s="133"/>
      <c r="IQ132" s="133"/>
      <c r="IR132" s="133"/>
      <c r="IS132" s="133"/>
      <c r="IT132" s="133"/>
      <c r="IU132" s="133"/>
      <c r="IV132" s="133"/>
    </row>
    <row r="133" spans="1:256" s="132" customFormat="1" ht="13.8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GE133" s="133"/>
      <c r="GF133" s="133"/>
      <c r="GG133" s="133"/>
      <c r="GH133" s="133"/>
      <c r="GI133" s="133"/>
      <c r="GJ133" s="133"/>
      <c r="GK133" s="133"/>
      <c r="GL133" s="133"/>
      <c r="GM133" s="133"/>
      <c r="GN133" s="133"/>
      <c r="GO133" s="133"/>
      <c r="GP133" s="133"/>
      <c r="GQ133" s="133"/>
      <c r="GR133" s="133"/>
      <c r="GS133" s="133"/>
      <c r="GT133" s="133"/>
      <c r="GU133" s="133"/>
      <c r="GV133" s="133"/>
      <c r="GW133" s="133"/>
      <c r="GX133" s="133"/>
      <c r="GY133" s="133"/>
      <c r="GZ133" s="133"/>
      <c r="HA133" s="133"/>
      <c r="HB133" s="133"/>
      <c r="HC133" s="133"/>
      <c r="HD133" s="133"/>
      <c r="HE133" s="133"/>
      <c r="HF133" s="133"/>
      <c r="HG133" s="133"/>
      <c r="HH133" s="133"/>
      <c r="HI133" s="133"/>
      <c r="HJ133" s="133"/>
      <c r="HK133" s="133"/>
      <c r="HL133" s="133"/>
      <c r="HM133" s="133"/>
      <c r="HN133" s="133"/>
      <c r="HO133" s="133"/>
      <c r="HP133" s="133"/>
      <c r="HQ133" s="133"/>
      <c r="HR133" s="133"/>
      <c r="HS133" s="133"/>
      <c r="HT133" s="133"/>
      <c r="HU133" s="133"/>
      <c r="HV133" s="133"/>
      <c r="HW133" s="133"/>
      <c r="HX133" s="133"/>
      <c r="HY133" s="133"/>
      <c r="HZ133" s="133"/>
      <c r="IA133" s="133"/>
      <c r="IB133" s="133"/>
      <c r="IC133" s="133"/>
      <c r="ID133" s="133"/>
      <c r="IE133" s="133"/>
      <c r="IF133" s="133"/>
      <c r="IG133" s="133"/>
      <c r="IH133" s="133"/>
      <c r="II133" s="133"/>
      <c r="IJ133" s="133"/>
      <c r="IK133" s="133"/>
      <c r="IL133" s="133"/>
      <c r="IM133" s="133"/>
      <c r="IN133" s="133"/>
      <c r="IO133" s="133"/>
      <c r="IP133" s="133"/>
      <c r="IQ133" s="133"/>
      <c r="IR133" s="133"/>
      <c r="IS133" s="133"/>
      <c r="IT133" s="133"/>
      <c r="IU133" s="133"/>
      <c r="IV133" s="133"/>
    </row>
    <row r="134" spans="1:256" s="132" customFormat="1" ht="13.8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GE134" s="133"/>
      <c r="GF134" s="133"/>
      <c r="GG134" s="133"/>
      <c r="GH134" s="133"/>
      <c r="GI134" s="133"/>
      <c r="GJ134" s="133"/>
      <c r="GK134" s="133"/>
      <c r="GL134" s="133"/>
      <c r="GM134" s="133"/>
      <c r="GN134" s="133"/>
      <c r="GO134" s="133"/>
      <c r="GP134" s="133"/>
      <c r="GQ134" s="133"/>
      <c r="GR134" s="133"/>
      <c r="GS134" s="133"/>
      <c r="GT134" s="133"/>
      <c r="GU134" s="133"/>
      <c r="GV134" s="133"/>
      <c r="GW134" s="133"/>
      <c r="GX134" s="133"/>
      <c r="GY134" s="133"/>
      <c r="GZ134" s="133"/>
      <c r="HA134" s="133"/>
      <c r="HB134" s="133"/>
      <c r="HC134" s="133"/>
      <c r="HD134" s="133"/>
      <c r="HE134" s="133"/>
      <c r="HF134" s="133"/>
      <c r="HG134" s="133"/>
      <c r="HH134" s="133"/>
      <c r="HI134" s="133"/>
      <c r="HJ134" s="133"/>
      <c r="HK134" s="133"/>
      <c r="HL134" s="133"/>
      <c r="HM134" s="133"/>
      <c r="HN134" s="133"/>
      <c r="HO134" s="133"/>
      <c r="HP134" s="133"/>
      <c r="HQ134" s="133"/>
      <c r="HR134" s="133"/>
      <c r="HS134" s="133"/>
      <c r="HT134" s="133"/>
      <c r="HU134" s="133"/>
      <c r="HV134" s="133"/>
      <c r="HW134" s="133"/>
      <c r="HX134" s="133"/>
      <c r="HY134" s="133"/>
      <c r="HZ134" s="133"/>
      <c r="IA134" s="133"/>
      <c r="IB134" s="133"/>
      <c r="IC134" s="133"/>
      <c r="ID134" s="133"/>
      <c r="IE134" s="133"/>
      <c r="IF134" s="133"/>
      <c r="IG134" s="133"/>
      <c r="IH134" s="133"/>
      <c r="II134" s="133"/>
      <c r="IJ134" s="133"/>
      <c r="IK134" s="133"/>
      <c r="IL134" s="133"/>
      <c r="IM134" s="133"/>
      <c r="IN134" s="133"/>
      <c r="IO134" s="133"/>
      <c r="IP134" s="133"/>
      <c r="IQ134" s="133"/>
      <c r="IR134" s="133"/>
      <c r="IS134" s="133"/>
      <c r="IT134" s="133"/>
      <c r="IU134" s="133"/>
      <c r="IV134" s="133"/>
    </row>
    <row r="135" spans="1:256" s="132" customFormat="1" ht="13.8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GE135" s="133"/>
      <c r="GF135" s="133"/>
      <c r="GG135" s="133"/>
      <c r="GH135" s="133"/>
      <c r="GI135" s="133"/>
      <c r="GJ135" s="133"/>
      <c r="GK135" s="133"/>
      <c r="GL135" s="133"/>
      <c r="GM135" s="133"/>
      <c r="GN135" s="133"/>
      <c r="GO135" s="133"/>
      <c r="GP135" s="133"/>
      <c r="GQ135" s="133"/>
      <c r="GR135" s="133"/>
      <c r="GS135" s="133"/>
      <c r="GT135" s="133"/>
      <c r="GU135" s="133"/>
      <c r="GV135" s="133"/>
      <c r="GW135" s="133"/>
      <c r="GX135" s="133"/>
      <c r="GY135" s="133"/>
      <c r="GZ135" s="133"/>
      <c r="HA135" s="133"/>
      <c r="HB135" s="133"/>
      <c r="HC135" s="133"/>
      <c r="HD135" s="133"/>
      <c r="HE135" s="133"/>
      <c r="HF135" s="133"/>
      <c r="HG135" s="133"/>
      <c r="HH135" s="133"/>
      <c r="HI135" s="133"/>
      <c r="HJ135" s="133"/>
      <c r="HK135" s="133"/>
      <c r="HL135" s="133"/>
      <c r="HM135" s="133"/>
      <c r="HN135" s="133"/>
      <c r="HO135" s="133"/>
      <c r="HP135" s="133"/>
      <c r="HQ135" s="133"/>
      <c r="HR135" s="133"/>
      <c r="HS135" s="133"/>
      <c r="HT135" s="133"/>
      <c r="HU135" s="133"/>
      <c r="HV135" s="133"/>
      <c r="HW135" s="133"/>
      <c r="HX135" s="133"/>
      <c r="HY135" s="133"/>
      <c r="HZ135" s="133"/>
      <c r="IA135" s="133"/>
      <c r="IB135" s="133"/>
      <c r="IC135" s="133"/>
      <c r="ID135" s="133"/>
      <c r="IE135" s="133"/>
      <c r="IF135" s="133"/>
      <c r="IG135" s="133"/>
      <c r="IH135" s="133"/>
      <c r="II135" s="133"/>
      <c r="IJ135" s="133"/>
      <c r="IK135" s="133"/>
      <c r="IL135" s="133"/>
      <c r="IM135" s="133"/>
      <c r="IN135" s="133"/>
      <c r="IO135" s="133"/>
      <c r="IP135" s="133"/>
      <c r="IQ135" s="133"/>
      <c r="IR135" s="133"/>
      <c r="IS135" s="133"/>
      <c r="IT135" s="133"/>
      <c r="IU135" s="133"/>
      <c r="IV135" s="133"/>
    </row>
    <row r="136" spans="1:256" s="132" customFormat="1" ht="13.8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GE136" s="133"/>
      <c r="GF136" s="133"/>
      <c r="GG136" s="133"/>
      <c r="GH136" s="133"/>
      <c r="GI136" s="133"/>
      <c r="GJ136" s="133"/>
      <c r="GK136" s="133"/>
      <c r="GL136" s="133"/>
      <c r="GM136" s="133"/>
      <c r="GN136" s="133"/>
      <c r="GO136" s="133"/>
      <c r="GP136" s="133"/>
      <c r="GQ136" s="133"/>
      <c r="GR136" s="133"/>
      <c r="GS136" s="133"/>
      <c r="GT136" s="133"/>
      <c r="GU136" s="133"/>
      <c r="GV136" s="133"/>
      <c r="GW136" s="133"/>
      <c r="GX136" s="133"/>
      <c r="GY136" s="133"/>
      <c r="GZ136" s="133"/>
      <c r="HA136" s="133"/>
      <c r="HB136" s="133"/>
      <c r="HC136" s="133"/>
      <c r="HD136" s="133"/>
      <c r="HE136" s="133"/>
      <c r="HF136" s="133"/>
      <c r="HG136" s="133"/>
      <c r="HH136" s="133"/>
      <c r="HI136" s="133"/>
      <c r="HJ136" s="133"/>
      <c r="HK136" s="133"/>
      <c r="HL136" s="133"/>
      <c r="HM136" s="133"/>
      <c r="HN136" s="133"/>
      <c r="HO136" s="133"/>
      <c r="HP136" s="133"/>
      <c r="HQ136" s="133"/>
      <c r="HR136" s="133"/>
      <c r="HS136" s="133"/>
      <c r="HT136" s="133"/>
      <c r="HU136" s="133"/>
      <c r="HV136" s="133"/>
      <c r="HW136" s="133"/>
      <c r="HX136" s="133"/>
      <c r="HY136" s="133"/>
      <c r="HZ136" s="133"/>
      <c r="IA136" s="133"/>
      <c r="IB136" s="133"/>
      <c r="IC136" s="133"/>
      <c r="ID136" s="133"/>
      <c r="IE136" s="133"/>
      <c r="IF136" s="133"/>
      <c r="IG136" s="133"/>
      <c r="IH136" s="133"/>
      <c r="II136" s="133"/>
      <c r="IJ136" s="133"/>
      <c r="IK136" s="133"/>
      <c r="IL136" s="133"/>
      <c r="IM136" s="133"/>
      <c r="IN136" s="133"/>
      <c r="IO136" s="133"/>
      <c r="IP136" s="133"/>
      <c r="IQ136" s="133"/>
      <c r="IR136" s="133"/>
      <c r="IS136" s="133"/>
      <c r="IT136" s="133"/>
      <c r="IU136" s="133"/>
      <c r="IV136" s="133"/>
    </row>
    <row r="137" spans="1:256" s="132" customFormat="1" ht="13.8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GE137" s="133"/>
      <c r="GF137" s="133"/>
      <c r="GG137" s="133"/>
      <c r="GH137" s="133"/>
      <c r="GI137" s="133"/>
      <c r="GJ137" s="133"/>
      <c r="GK137" s="133"/>
      <c r="GL137" s="133"/>
      <c r="GM137" s="133"/>
      <c r="GN137" s="133"/>
      <c r="GO137" s="133"/>
      <c r="GP137" s="133"/>
      <c r="GQ137" s="133"/>
      <c r="GR137" s="133"/>
      <c r="GS137" s="133"/>
      <c r="GT137" s="133"/>
      <c r="GU137" s="133"/>
      <c r="GV137" s="133"/>
      <c r="GW137" s="133"/>
      <c r="GX137" s="133"/>
      <c r="GY137" s="133"/>
      <c r="GZ137" s="133"/>
      <c r="HA137" s="133"/>
      <c r="HB137" s="133"/>
      <c r="HC137" s="133"/>
      <c r="HD137" s="133"/>
      <c r="HE137" s="133"/>
      <c r="HF137" s="133"/>
      <c r="HG137" s="133"/>
      <c r="HH137" s="133"/>
      <c r="HI137" s="133"/>
      <c r="HJ137" s="133"/>
      <c r="HK137" s="133"/>
      <c r="HL137" s="133"/>
      <c r="HM137" s="133"/>
      <c r="HN137" s="133"/>
      <c r="HO137" s="133"/>
      <c r="HP137" s="133"/>
      <c r="HQ137" s="133"/>
      <c r="HR137" s="133"/>
      <c r="HS137" s="133"/>
      <c r="HT137" s="133"/>
      <c r="HU137" s="133"/>
      <c r="HV137" s="133"/>
      <c r="HW137" s="133"/>
      <c r="HX137" s="133"/>
      <c r="HY137" s="133"/>
      <c r="HZ137" s="133"/>
      <c r="IA137" s="133"/>
      <c r="IB137" s="133"/>
      <c r="IC137" s="133"/>
      <c r="ID137" s="133"/>
      <c r="IE137" s="133"/>
      <c r="IF137" s="133"/>
      <c r="IG137" s="133"/>
      <c r="IH137" s="133"/>
      <c r="II137" s="133"/>
      <c r="IJ137" s="133"/>
      <c r="IK137" s="133"/>
      <c r="IL137" s="133"/>
      <c r="IM137" s="133"/>
      <c r="IN137" s="133"/>
      <c r="IO137" s="133"/>
      <c r="IP137" s="133"/>
      <c r="IQ137" s="133"/>
      <c r="IR137" s="133"/>
      <c r="IS137" s="133"/>
      <c r="IT137" s="133"/>
      <c r="IU137" s="133"/>
      <c r="IV137" s="133"/>
    </row>
    <row r="138" spans="1:256" s="132" customFormat="1" ht="13.8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GE138" s="133"/>
      <c r="GF138" s="133"/>
      <c r="GG138" s="133"/>
      <c r="GH138" s="133"/>
      <c r="GI138" s="133"/>
      <c r="GJ138" s="133"/>
      <c r="GK138" s="133"/>
      <c r="GL138" s="133"/>
      <c r="GM138" s="133"/>
      <c r="GN138" s="133"/>
      <c r="GO138" s="133"/>
      <c r="GP138" s="133"/>
      <c r="GQ138" s="133"/>
      <c r="GR138" s="133"/>
      <c r="GS138" s="133"/>
      <c r="GT138" s="133"/>
      <c r="GU138" s="133"/>
      <c r="GV138" s="133"/>
      <c r="GW138" s="133"/>
      <c r="GX138" s="133"/>
      <c r="GY138" s="133"/>
      <c r="GZ138" s="133"/>
      <c r="HA138" s="133"/>
      <c r="HB138" s="133"/>
      <c r="HC138" s="133"/>
      <c r="HD138" s="133"/>
      <c r="HE138" s="133"/>
      <c r="HF138" s="133"/>
      <c r="HG138" s="133"/>
      <c r="HH138" s="133"/>
      <c r="HI138" s="133"/>
      <c r="HJ138" s="133"/>
      <c r="HK138" s="133"/>
      <c r="HL138" s="133"/>
      <c r="HM138" s="133"/>
      <c r="HN138" s="133"/>
      <c r="HO138" s="133"/>
      <c r="HP138" s="133"/>
      <c r="HQ138" s="133"/>
      <c r="HR138" s="133"/>
      <c r="HS138" s="133"/>
      <c r="HT138" s="133"/>
      <c r="HU138" s="133"/>
      <c r="HV138" s="133"/>
      <c r="HW138" s="133"/>
      <c r="HX138" s="133"/>
      <c r="HY138" s="133"/>
      <c r="HZ138" s="133"/>
      <c r="IA138" s="133"/>
      <c r="IB138" s="133"/>
      <c r="IC138" s="133"/>
      <c r="ID138" s="133"/>
      <c r="IE138" s="133"/>
      <c r="IF138" s="133"/>
      <c r="IG138" s="133"/>
      <c r="IH138" s="133"/>
      <c r="II138" s="133"/>
      <c r="IJ138" s="133"/>
      <c r="IK138" s="133"/>
      <c r="IL138" s="133"/>
      <c r="IM138" s="133"/>
      <c r="IN138" s="133"/>
      <c r="IO138" s="133"/>
      <c r="IP138" s="133"/>
      <c r="IQ138" s="133"/>
      <c r="IR138" s="133"/>
      <c r="IS138" s="133"/>
      <c r="IT138" s="133"/>
      <c r="IU138" s="133"/>
      <c r="IV138" s="133"/>
    </row>
    <row r="139" spans="1:256" s="132" customFormat="1" ht="13.8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GE139" s="133"/>
      <c r="GF139" s="133"/>
      <c r="GG139" s="133"/>
      <c r="GH139" s="133"/>
      <c r="GI139" s="133"/>
      <c r="GJ139" s="133"/>
      <c r="GK139" s="133"/>
      <c r="GL139" s="133"/>
      <c r="GM139" s="133"/>
      <c r="GN139" s="133"/>
      <c r="GO139" s="133"/>
      <c r="GP139" s="133"/>
      <c r="GQ139" s="133"/>
      <c r="GR139" s="133"/>
      <c r="GS139" s="133"/>
      <c r="GT139" s="133"/>
      <c r="GU139" s="133"/>
      <c r="GV139" s="133"/>
      <c r="GW139" s="133"/>
      <c r="GX139" s="133"/>
      <c r="GY139" s="133"/>
      <c r="GZ139" s="133"/>
      <c r="HA139" s="133"/>
      <c r="HB139" s="133"/>
      <c r="HC139" s="133"/>
      <c r="HD139" s="133"/>
      <c r="HE139" s="133"/>
      <c r="HF139" s="133"/>
      <c r="HG139" s="133"/>
      <c r="HH139" s="133"/>
      <c r="HI139" s="133"/>
      <c r="HJ139" s="133"/>
      <c r="HK139" s="133"/>
      <c r="HL139" s="133"/>
      <c r="HM139" s="133"/>
      <c r="HN139" s="133"/>
      <c r="HO139" s="133"/>
      <c r="HP139" s="133"/>
      <c r="HQ139" s="133"/>
      <c r="HR139" s="133"/>
      <c r="HS139" s="133"/>
      <c r="HT139" s="133"/>
      <c r="HU139" s="133"/>
      <c r="HV139" s="133"/>
      <c r="HW139" s="133"/>
      <c r="HX139" s="133"/>
      <c r="HY139" s="133"/>
      <c r="HZ139" s="133"/>
      <c r="IA139" s="133"/>
      <c r="IB139" s="133"/>
      <c r="IC139" s="133"/>
      <c r="ID139" s="133"/>
      <c r="IE139" s="133"/>
      <c r="IF139" s="133"/>
      <c r="IG139" s="133"/>
      <c r="IH139" s="133"/>
      <c r="II139" s="133"/>
      <c r="IJ139" s="133"/>
      <c r="IK139" s="133"/>
      <c r="IL139" s="133"/>
      <c r="IM139" s="133"/>
      <c r="IN139" s="133"/>
      <c r="IO139" s="133"/>
      <c r="IP139" s="133"/>
      <c r="IQ139" s="133"/>
      <c r="IR139" s="133"/>
      <c r="IS139" s="133"/>
      <c r="IT139" s="133"/>
      <c r="IU139" s="133"/>
      <c r="IV139" s="133"/>
    </row>
    <row r="140" spans="1:256" s="132" customFormat="1" ht="13.8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GE140" s="133"/>
      <c r="GF140" s="133"/>
      <c r="GG140" s="133"/>
      <c r="GH140" s="133"/>
      <c r="GI140" s="133"/>
      <c r="GJ140" s="133"/>
      <c r="GK140" s="133"/>
      <c r="GL140" s="133"/>
      <c r="GM140" s="133"/>
      <c r="GN140" s="133"/>
      <c r="GO140" s="133"/>
      <c r="GP140" s="133"/>
      <c r="GQ140" s="133"/>
      <c r="GR140" s="133"/>
      <c r="GS140" s="133"/>
      <c r="GT140" s="133"/>
      <c r="GU140" s="133"/>
      <c r="GV140" s="133"/>
      <c r="GW140" s="133"/>
      <c r="GX140" s="133"/>
      <c r="GY140" s="133"/>
      <c r="GZ140" s="133"/>
      <c r="HA140" s="133"/>
      <c r="HB140" s="133"/>
      <c r="HC140" s="133"/>
      <c r="HD140" s="133"/>
      <c r="HE140" s="133"/>
      <c r="HF140" s="133"/>
      <c r="HG140" s="133"/>
      <c r="HH140" s="133"/>
      <c r="HI140" s="133"/>
      <c r="HJ140" s="133"/>
      <c r="HK140" s="133"/>
      <c r="HL140" s="133"/>
      <c r="HM140" s="133"/>
      <c r="HN140" s="133"/>
      <c r="HO140" s="133"/>
      <c r="HP140" s="133"/>
      <c r="HQ140" s="133"/>
      <c r="HR140" s="133"/>
      <c r="HS140" s="133"/>
      <c r="HT140" s="133"/>
      <c r="HU140" s="133"/>
      <c r="HV140" s="133"/>
      <c r="HW140" s="133"/>
      <c r="HX140" s="133"/>
      <c r="HY140" s="133"/>
      <c r="HZ140" s="133"/>
      <c r="IA140" s="133"/>
      <c r="IB140" s="133"/>
      <c r="IC140" s="133"/>
      <c r="ID140" s="133"/>
      <c r="IE140" s="133"/>
      <c r="IF140" s="133"/>
      <c r="IG140" s="133"/>
      <c r="IH140" s="133"/>
      <c r="II140" s="133"/>
      <c r="IJ140" s="133"/>
      <c r="IK140" s="133"/>
      <c r="IL140" s="133"/>
      <c r="IM140" s="133"/>
      <c r="IN140" s="133"/>
      <c r="IO140" s="133"/>
      <c r="IP140" s="133"/>
      <c r="IQ140" s="133"/>
      <c r="IR140" s="133"/>
      <c r="IS140" s="133"/>
      <c r="IT140" s="133"/>
      <c r="IU140" s="133"/>
      <c r="IV140" s="133"/>
    </row>
    <row r="141" spans="1:256" s="132" customFormat="1" ht="13.8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GE141" s="133"/>
      <c r="GF141" s="133"/>
      <c r="GG141" s="133"/>
      <c r="GH141" s="133"/>
      <c r="GI141" s="133"/>
      <c r="GJ141" s="133"/>
      <c r="GK141" s="133"/>
      <c r="GL141" s="133"/>
      <c r="GM141" s="133"/>
      <c r="GN141" s="133"/>
      <c r="GO141" s="133"/>
      <c r="GP141" s="133"/>
      <c r="GQ141" s="133"/>
      <c r="GR141" s="133"/>
      <c r="GS141" s="133"/>
      <c r="GT141" s="133"/>
      <c r="GU141" s="133"/>
      <c r="GV141" s="133"/>
      <c r="GW141" s="133"/>
      <c r="GX141" s="133"/>
      <c r="GY141" s="133"/>
      <c r="GZ141" s="133"/>
      <c r="HA141" s="133"/>
      <c r="HB141" s="133"/>
      <c r="HC141" s="133"/>
      <c r="HD141" s="133"/>
      <c r="HE141" s="133"/>
      <c r="HF141" s="133"/>
      <c r="HG141" s="133"/>
      <c r="HH141" s="133"/>
      <c r="HI141" s="133"/>
      <c r="HJ141" s="133"/>
      <c r="HK141" s="133"/>
      <c r="HL141" s="133"/>
      <c r="HM141" s="133"/>
      <c r="HN141" s="133"/>
      <c r="HO141" s="133"/>
      <c r="HP141" s="133"/>
      <c r="HQ141" s="133"/>
      <c r="HR141" s="133"/>
      <c r="HS141" s="133"/>
      <c r="HT141" s="133"/>
      <c r="HU141" s="133"/>
      <c r="HV141" s="133"/>
      <c r="HW141" s="133"/>
      <c r="HX141" s="133"/>
      <c r="HY141" s="133"/>
      <c r="HZ141" s="133"/>
      <c r="IA141" s="133"/>
      <c r="IB141" s="133"/>
      <c r="IC141" s="133"/>
      <c r="ID141" s="133"/>
      <c r="IE141" s="133"/>
      <c r="IF141" s="133"/>
      <c r="IG141" s="133"/>
      <c r="IH141" s="133"/>
      <c r="II141" s="133"/>
      <c r="IJ141" s="133"/>
      <c r="IK141" s="133"/>
      <c r="IL141" s="133"/>
      <c r="IM141" s="133"/>
      <c r="IN141" s="133"/>
      <c r="IO141" s="133"/>
      <c r="IP141" s="133"/>
      <c r="IQ141" s="133"/>
      <c r="IR141" s="133"/>
      <c r="IS141" s="133"/>
      <c r="IT141" s="133"/>
      <c r="IU141" s="133"/>
      <c r="IV141" s="133"/>
    </row>
    <row r="142" spans="1:256" s="132" customFormat="1" ht="13.8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GE142" s="133"/>
      <c r="GF142" s="133"/>
      <c r="GG142" s="133"/>
      <c r="GH142" s="133"/>
      <c r="GI142" s="133"/>
      <c r="GJ142" s="133"/>
      <c r="GK142" s="133"/>
      <c r="GL142" s="133"/>
      <c r="GM142" s="133"/>
      <c r="GN142" s="133"/>
      <c r="GO142" s="133"/>
      <c r="GP142" s="133"/>
      <c r="GQ142" s="133"/>
      <c r="GR142" s="133"/>
      <c r="GS142" s="133"/>
      <c r="GT142" s="133"/>
      <c r="GU142" s="133"/>
      <c r="GV142" s="133"/>
      <c r="GW142" s="133"/>
      <c r="GX142" s="133"/>
      <c r="GY142" s="133"/>
      <c r="GZ142" s="133"/>
      <c r="HA142" s="133"/>
      <c r="HB142" s="133"/>
      <c r="HC142" s="133"/>
      <c r="HD142" s="133"/>
      <c r="HE142" s="133"/>
      <c r="HF142" s="133"/>
      <c r="HG142" s="133"/>
      <c r="HH142" s="133"/>
      <c r="HI142" s="133"/>
      <c r="HJ142" s="133"/>
      <c r="HK142" s="133"/>
      <c r="HL142" s="133"/>
      <c r="HM142" s="133"/>
      <c r="HN142" s="133"/>
      <c r="HO142" s="133"/>
      <c r="HP142" s="133"/>
      <c r="HQ142" s="133"/>
      <c r="HR142" s="133"/>
      <c r="HS142" s="133"/>
      <c r="HT142" s="133"/>
      <c r="HU142" s="133"/>
      <c r="HV142" s="133"/>
      <c r="HW142" s="133"/>
      <c r="HX142" s="133"/>
      <c r="HY142" s="133"/>
      <c r="HZ142" s="133"/>
      <c r="IA142" s="133"/>
      <c r="IB142" s="133"/>
      <c r="IC142" s="133"/>
      <c r="ID142" s="133"/>
      <c r="IE142" s="133"/>
      <c r="IF142" s="133"/>
      <c r="IG142" s="133"/>
      <c r="IH142" s="133"/>
      <c r="II142" s="133"/>
      <c r="IJ142" s="133"/>
      <c r="IK142" s="133"/>
      <c r="IL142" s="133"/>
      <c r="IM142" s="133"/>
      <c r="IN142" s="133"/>
      <c r="IO142" s="133"/>
      <c r="IP142" s="133"/>
      <c r="IQ142" s="133"/>
      <c r="IR142" s="133"/>
      <c r="IS142" s="133"/>
      <c r="IT142" s="133"/>
      <c r="IU142" s="133"/>
      <c r="IV142" s="133"/>
    </row>
    <row r="143" spans="1:256" s="132" customFormat="1" ht="13.8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GE143" s="133"/>
      <c r="GF143" s="133"/>
      <c r="GG143" s="133"/>
      <c r="GH143" s="133"/>
      <c r="GI143" s="133"/>
      <c r="GJ143" s="133"/>
      <c r="GK143" s="133"/>
      <c r="GL143" s="133"/>
      <c r="GM143" s="133"/>
      <c r="GN143" s="133"/>
      <c r="GO143" s="133"/>
      <c r="GP143" s="133"/>
      <c r="GQ143" s="133"/>
      <c r="GR143" s="133"/>
      <c r="GS143" s="133"/>
      <c r="GT143" s="133"/>
      <c r="GU143" s="133"/>
      <c r="GV143" s="133"/>
      <c r="GW143" s="133"/>
      <c r="GX143" s="133"/>
      <c r="GY143" s="133"/>
      <c r="GZ143" s="133"/>
      <c r="HA143" s="133"/>
      <c r="HB143" s="133"/>
      <c r="HC143" s="133"/>
      <c r="HD143" s="133"/>
      <c r="HE143" s="133"/>
      <c r="HF143" s="133"/>
      <c r="HG143" s="133"/>
      <c r="HH143" s="133"/>
      <c r="HI143" s="133"/>
      <c r="HJ143" s="133"/>
      <c r="HK143" s="133"/>
      <c r="HL143" s="133"/>
      <c r="HM143" s="133"/>
      <c r="HN143" s="133"/>
      <c r="HO143" s="133"/>
      <c r="HP143" s="133"/>
      <c r="HQ143" s="133"/>
      <c r="HR143" s="133"/>
      <c r="HS143" s="133"/>
      <c r="HT143" s="133"/>
      <c r="HU143" s="133"/>
      <c r="HV143" s="133"/>
      <c r="HW143" s="133"/>
      <c r="HX143" s="133"/>
      <c r="HY143" s="133"/>
      <c r="HZ143" s="133"/>
      <c r="IA143" s="133"/>
      <c r="IB143" s="133"/>
      <c r="IC143" s="133"/>
      <c r="ID143" s="133"/>
      <c r="IE143" s="133"/>
      <c r="IF143" s="133"/>
      <c r="IG143" s="133"/>
      <c r="IH143" s="133"/>
      <c r="II143" s="133"/>
      <c r="IJ143" s="133"/>
      <c r="IK143" s="133"/>
      <c r="IL143" s="133"/>
      <c r="IM143" s="133"/>
      <c r="IN143" s="133"/>
      <c r="IO143" s="133"/>
      <c r="IP143" s="133"/>
      <c r="IQ143" s="133"/>
      <c r="IR143" s="133"/>
      <c r="IS143" s="133"/>
      <c r="IT143" s="133"/>
      <c r="IU143" s="133"/>
      <c r="IV143" s="133"/>
    </row>
    <row r="144" spans="1:256" s="132" customFormat="1" ht="13.8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GE144" s="133"/>
      <c r="GF144" s="133"/>
      <c r="GG144" s="133"/>
      <c r="GH144" s="133"/>
      <c r="GI144" s="133"/>
      <c r="GJ144" s="133"/>
      <c r="GK144" s="133"/>
      <c r="GL144" s="133"/>
      <c r="GM144" s="133"/>
      <c r="GN144" s="133"/>
      <c r="GO144" s="133"/>
      <c r="GP144" s="133"/>
      <c r="GQ144" s="133"/>
      <c r="GR144" s="133"/>
      <c r="GS144" s="133"/>
      <c r="GT144" s="133"/>
      <c r="GU144" s="133"/>
      <c r="GV144" s="133"/>
      <c r="GW144" s="133"/>
      <c r="GX144" s="133"/>
      <c r="GY144" s="133"/>
      <c r="GZ144" s="133"/>
      <c r="HA144" s="133"/>
      <c r="HB144" s="133"/>
      <c r="HC144" s="133"/>
      <c r="HD144" s="133"/>
      <c r="HE144" s="133"/>
      <c r="HF144" s="133"/>
      <c r="HG144" s="133"/>
      <c r="HH144" s="133"/>
      <c r="HI144" s="133"/>
      <c r="HJ144" s="133"/>
      <c r="HK144" s="133"/>
      <c r="HL144" s="133"/>
      <c r="HM144" s="133"/>
      <c r="HN144" s="133"/>
      <c r="HO144" s="133"/>
      <c r="HP144" s="133"/>
      <c r="HQ144" s="133"/>
      <c r="HR144" s="133"/>
      <c r="HS144" s="133"/>
      <c r="HT144" s="133"/>
      <c r="HU144" s="133"/>
      <c r="HV144" s="133"/>
      <c r="HW144" s="133"/>
      <c r="HX144" s="133"/>
      <c r="HY144" s="133"/>
      <c r="HZ144" s="133"/>
      <c r="IA144" s="133"/>
      <c r="IB144" s="133"/>
      <c r="IC144" s="133"/>
      <c r="ID144" s="133"/>
      <c r="IE144" s="133"/>
      <c r="IF144" s="133"/>
      <c r="IG144" s="133"/>
      <c r="IH144" s="133"/>
      <c r="II144" s="133"/>
      <c r="IJ144" s="133"/>
      <c r="IK144" s="133"/>
      <c r="IL144" s="133"/>
      <c r="IM144" s="133"/>
      <c r="IN144" s="133"/>
      <c r="IO144" s="133"/>
      <c r="IP144" s="133"/>
      <c r="IQ144" s="133"/>
      <c r="IR144" s="133"/>
      <c r="IS144" s="133"/>
      <c r="IT144" s="133"/>
      <c r="IU144" s="133"/>
      <c r="IV144" s="133"/>
    </row>
    <row r="145" spans="1:256" s="132" customFormat="1" ht="13.8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GE145" s="133"/>
      <c r="GF145" s="133"/>
      <c r="GG145" s="133"/>
      <c r="GH145" s="133"/>
      <c r="GI145" s="133"/>
      <c r="GJ145" s="133"/>
      <c r="GK145" s="133"/>
      <c r="GL145" s="133"/>
      <c r="GM145" s="133"/>
      <c r="GN145" s="133"/>
      <c r="GO145" s="133"/>
      <c r="GP145" s="133"/>
      <c r="GQ145" s="133"/>
      <c r="GR145" s="133"/>
      <c r="GS145" s="133"/>
      <c r="GT145" s="133"/>
      <c r="GU145" s="133"/>
      <c r="GV145" s="133"/>
      <c r="GW145" s="133"/>
      <c r="GX145" s="133"/>
      <c r="GY145" s="133"/>
      <c r="GZ145" s="133"/>
      <c r="HA145" s="133"/>
      <c r="HB145" s="133"/>
      <c r="HC145" s="133"/>
      <c r="HD145" s="133"/>
      <c r="HE145" s="133"/>
      <c r="HF145" s="133"/>
      <c r="HG145" s="133"/>
      <c r="HH145" s="133"/>
      <c r="HI145" s="133"/>
      <c r="HJ145" s="133"/>
      <c r="HK145" s="133"/>
      <c r="HL145" s="133"/>
      <c r="HM145" s="133"/>
      <c r="HN145" s="133"/>
      <c r="HO145" s="133"/>
      <c r="HP145" s="133"/>
      <c r="HQ145" s="133"/>
      <c r="HR145" s="133"/>
      <c r="HS145" s="133"/>
      <c r="HT145" s="133"/>
      <c r="HU145" s="133"/>
      <c r="HV145" s="133"/>
      <c r="HW145" s="133"/>
      <c r="HX145" s="133"/>
      <c r="HY145" s="133"/>
      <c r="HZ145" s="133"/>
      <c r="IA145" s="133"/>
      <c r="IB145" s="133"/>
      <c r="IC145" s="133"/>
      <c r="ID145" s="133"/>
      <c r="IE145" s="133"/>
      <c r="IF145" s="133"/>
      <c r="IG145" s="133"/>
      <c r="IH145" s="133"/>
      <c r="II145" s="133"/>
      <c r="IJ145" s="133"/>
      <c r="IK145" s="133"/>
      <c r="IL145" s="133"/>
      <c r="IM145" s="133"/>
      <c r="IN145" s="133"/>
      <c r="IO145" s="133"/>
      <c r="IP145" s="133"/>
      <c r="IQ145" s="133"/>
      <c r="IR145" s="133"/>
      <c r="IS145" s="133"/>
      <c r="IT145" s="133"/>
      <c r="IU145" s="133"/>
      <c r="IV145" s="133"/>
    </row>
    <row r="146" spans="1:256" s="132" customFormat="1" ht="13.8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GE146" s="133"/>
      <c r="GF146" s="133"/>
      <c r="GG146" s="133"/>
      <c r="GH146" s="133"/>
      <c r="GI146" s="133"/>
      <c r="GJ146" s="133"/>
      <c r="GK146" s="133"/>
      <c r="GL146" s="133"/>
      <c r="GM146" s="133"/>
      <c r="GN146" s="133"/>
      <c r="GO146" s="133"/>
      <c r="GP146" s="133"/>
      <c r="GQ146" s="133"/>
      <c r="GR146" s="133"/>
      <c r="GS146" s="133"/>
      <c r="GT146" s="133"/>
      <c r="GU146" s="133"/>
      <c r="GV146" s="133"/>
      <c r="GW146" s="133"/>
      <c r="GX146" s="133"/>
      <c r="GY146" s="133"/>
      <c r="GZ146" s="133"/>
      <c r="HA146" s="133"/>
      <c r="HB146" s="133"/>
      <c r="HC146" s="133"/>
      <c r="HD146" s="133"/>
      <c r="HE146" s="133"/>
      <c r="HF146" s="133"/>
      <c r="HG146" s="133"/>
      <c r="HH146" s="133"/>
      <c r="HI146" s="133"/>
      <c r="HJ146" s="133"/>
      <c r="HK146" s="133"/>
      <c r="HL146" s="133"/>
      <c r="HM146" s="133"/>
      <c r="HN146" s="133"/>
      <c r="HO146" s="133"/>
      <c r="HP146" s="133"/>
      <c r="HQ146" s="133"/>
      <c r="HR146" s="133"/>
      <c r="HS146" s="133"/>
      <c r="HT146" s="133"/>
      <c r="HU146" s="133"/>
      <c r="HV146" s="133"/>
      <c r="HW146" s="133"/>
      <c r="HX146" s="133"/>
      <c r="HY146" s="133"/>
      <c r="HZ146" s="133"/>
      <c r="IA146" s="133"/>
      <c r="IB146" s="133"/>
      <c r="IC146" s="133"/>
      <c r="ID146" s="133"/>
      <c r="IE146" s="133"/>
      <c r="IF146" s="133"/>
      <c r="IG146" s="133"/>
      <c r="IH146" s="133"/>
      <c r="II146" s="133"/>
      <c r="IJ146" s="133"/>
      <c r="IK146" s="133"/>
      <c r="IL146" s="133"/>
      <c r="IM146" s="133"/>
      <c r="IN146" s="133"/>
      <c r="IO146" s="133"/>
      <c r="IP146" s="133"/>
      <c r="IQ146" s="133"/>
      <c r="IR146" s="133"/>
      <c r="IS146" s="133"/>
      <c r="IT146" s="133"/>
      <c r="IU146" s="133"/>
      <c r="IV146" s="133"/>
    </row>
    <row r="147" spans="1:256" s="132" customFormat="1" ht="13.8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GE147" s="133"/>
      <c r="GF147" s="133"/>
      <c r="GG147" s="133"/>
      <c r="GH147" s="133"/>
      <c r="GI147" s="133"/>
      <c r="GJ147" s="133"/>
      <c r="GK147" s="133"/>
      <c r="GL147" s="133"/>
      <c r="GM147" s="133"/>
      <c r="GN147" s="133"/>
      <c r="GO147" s="133"/>
      <c r="GP147" s="133"/>
      <c r="GQ147" s="133"/>
      <c r="GR147" s="133"/>
      <c r="GS147" s="133"/>
      <c r="GT147" s="133"/>
      <c r="GU147" s="133"/>
      <c r="GV147" s="133"/>
      <c r="GW147" s="133"/>
      <c r="GX147" s="133"/>
      <c r="GY147" s="133"/>
      <c r="GZ147" s="133"/>
      <c r="HA147" s="133"/>
      <c r="HB147" s="133"/>
      <c r="HC147" s="133"/>
      <c r="HD147" s="133"/>
      <c r="HE147" s="133"/>
      <c r="HF147" s="133"/>
      <c r="HG147" s="133"/>
      <c r="HH147" s="133"/>
      <c r="HI147" s="133"/>
      <c r="HJ147" s="133"/>
      <c r="HK147" s="133"/>
      <c r="HL147" s="133"/>
      <c r="HM147" s="133"/>
      <c r="HN147" s="133"/>
      <c r="HO147" s="133"/>
      <c r="HP147" s="133"/>
      <c r="HQ147" s="133"/>
      <c r="HR147" s="133"/>
      <c r="HS147" s="133"/>
      <c r="HT147" s="133"/>
      <c r="HU147" s="133"/>
      <c r="HV147" s="133"/>
      <c r="HW147" s="133"/>
      <c r="HX147" s="133"/>
      <c r="HY147" s="133"/>
      <c r="HZ147" s="133"/>
      <c r="IA147" s="133"/>
      <c r="IB147" s="133"/>
      <c r="IC147" s="133"/>
      <c r="ID147" s="133"/>
      <c r="IE147" s="133"/>
      <c r="IF147" s="133"/>
      <c r="IG147" s="133"/>
      <c r="IH147" s="133"/>
      <c r="II147" s="133"/>
      <c r="IJ147" s="133"/>
      <c r="IK147" s="133"/>
      <c r="IL147" s="133"/>
      <c r="IM147" s="133"/>
      <c r="IN147" s="133"/>
      <c r="IO147" s="133"/>
      <c r="IP147" s="133"/>
      <c r="IQ147" s="133"/>
      <c r="IR147" s="133"/>
      <c r="IS147" s="133"/>
      <c r="IT147" s="133"/>
      <c r="IU147" s="133"/>
      <c r="IV147" s="133"/>
    </row>
    <row r="148" spans="1:256" s="132" customFormat="1" ht="13.8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GE148" s="133"/>
      <c r="GF148" s="133"/>
      <c r="GG148" s="133"/>
      <c r="GH148" s="133"/>
      <c r="GI148" s="133"/>
      <c r="GJ148" s="133"/>
      <c r="GK148" s="133"/>
      <c r="GL148" s="133"/>
      <c r="GM148" s="133"/>
      <c r="GN148" s="133"/>
      <c r="GO148" s="133"/>
      <c r="GP148" s="133"/>
      <c r="GQ148" s="133"/>
      <c r="GR148" s="133"/>
      <c r="GS148" s="133"/>
      <c r="GT148" s="133"/>
      <c r="GU148" s="133"/>
      <c r="GV148" s="133"/>
      <c r="GW148" s="133"/>
      <c r="GX148" s="133"/>
      <c r="GY148" s="133"/>
      <c r="GZ148" s="133"/>
      <c r="HA148" s="133"/>
      <c r="HB148" s="133"/>
      <c r="HC148" s="133"/>
      <c r="HD148" s="133"/>
      <c r="HE148" s="133"/>
      <c r="HF148" s="133"/>
      <c r="HG148" s="133"/>
      <c r="HH148" s="133"/>
      <c r="HI148" s="133"/>
      <c r="HJ148" s="133"/>
      <c r="HK148" s="133"/>
      <c r="HL148" s="133"/>
      <c r="HM148" s="133"/>
      <c r="HN148" s="133"/>
      <c r="HO148" s="133"/>
      <c r="HP148" s="133"/>
      <c r="HQ148" s="133"/>
      <c r="HR148" s="133"/>
      <c r="HS148" s="133"/>
      <c r="HT148" s="133"/>
      <c r="HU148" s="133"/>
      <c r="HV148" s="133"/>
      <c r="HW148" s="133"/>
      <c r="HX148" s="133"/>
      <c r="HY148" s="133"/>
      <c r="HZ148" s="133"/>
      <c r="IA148" s="133"/>
      <c r="IB148" s="133"/>
      <c r="IC148" s="133"/>
      <c r="ID148" s="133"/>
      <c r="IE148" s="133"/>
      <c r="IF148" s="133"/>
      <c r="IG148" s="133"/>
      <c r="IH148" s="133"/>
      <c r="II148" s="133"/>
      <c r="IJ148" s="133"/>
      <c r="IK148" s="133"/>
      <c r="IL148" s="133"/>
      <c r="IM148" s="133"/>
      <c r="IN148" s="133"/>
      <c r="IO148" s="133"/>
      <c r="IP148" s="133"/>
      <c r="IQ148" s="133"/>
      <c r="IR148" s="133"/>
      <c r="IS148" s="133"/>
      <c r="IT148" s="133"/>
      <c r="IU148" s="133"/>
      <c r="IV148" s="133"/>
    </row>
    <row r="149" spans="1:256" s="132" customFormat="1" ht="13.8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GE149" s="133"/>
      <c r="GF149" s="133"/>
      <c r="GG149" s="133"/>
      <c r="GH149" s="133"/>
      <c r="GI149" s="133"/>
      <c r="GJ149" s="133"/>
      <c r="GK149" s="133"/>
      <c r="GL149" s="133"/>
      <c r="GM149" s="133"/>
      <c r="GN149" s="133"/>
      <c r="GO149" s="133"/>
      <c r="GP149" s="133"/>
      <c r="GQ149" s="133"/>
      <c r="GR149" s="133"/>
      <c r="GS149" s="133"/>
      <c r="GT149" s="133"/>
      <c r="GU149" s="133"/>
      <c r="GV149" s="133"/>
      <c r="GW149" s="133"/>
      <c r="GX149" s="133"/>
      <c r="GY149" s="133"/>
      <c r="GZ149" s="133"/>
      <c r="HA149" s="133"/>
      <c r="HB149" s="133"/>
      <c r="HC149" s="133"/>
      <c r="HD149" s="133"/>
      <c r="HE149" s="133"/>
      <c r="HF149" s="133"/>
      <c r="HG149" s="133"/>
      <c r="HH149" s="133"/>
      <c r="HI149" s="133"/>
      <c r="HJ149" s="133"/>
      <c r="HK149" s="133"/>
      <c r="HL149" s="133"/>
      <c r="HM149" s="133"/>
      <c r="HN149" s="133"/>
      <c r="HO149" s="133"/>
      <c r="HP149" s="133"/>
      <c r="HQ149" s="133"/>
      <c r="HR149" s="133"/>
      <c r="HS149" s="133"/>
      <c r="HT149" s="133"/>
      <c r="HU149" s="133"/>
      <c r="HV149" s="133"/>
      <c r="HW149" s="133"/>
      <c r="HX149" s="133"/>
      <c r="HY149" s="133"/>
      <c r="HZ149" s="133"/>
      <c r="IA149" s="133"/>
      <c r="IB149" s="133"/>
      <c r="IC149" s="133"/>
      <c r="ID149" s="133"/>
      <c r="IE149" s="133"/>
      <c r="IF149" s="133"/>
      <c r="IG149" s="133"/>
      <c r="IH149" s="133"/>
      <c r="II149" s="133"/>
      <c r="IJ149" s="133"/>
      <c r="IK149" s="133"/>
      <c r="IL149" s="133"/>
      <c r="IM149" s="133"/>
      <c r="IN149" s="133"/>
      <c r="IO149" s="133"/>
      <c r="IP149" s="133"/>
      <c r="IQ149" s="133"/>
      <c r="IR149" s="133"/>
      <c r="IS149" s="133"/>
      <c r="IT149" s="133"/>
      <c r="IU149" s="133"/>
      <c r="IV149" s="133"/>
    </row>
    <row r="150" spans="1:256" s="132" customFormat="1" ht="13.8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GE150" s="133"/>
      <c r="GF150" s="133"/>
      <c r="GG150" s="133"/>
      <c r="GH150" s="133"/>
      <c r="GI150" s="133"/>
      <c r="GJ150" s="133"/>
      <c r="GK150" s="133"/>
      <c r="GL150" s="133"/>
      <c r="GM150" s="133"/>
      <c r="GN150" s="133"/>
      <c r="GO150" s="133"/>
      <c r="GP150" s="133"/>
      <c r="GQ150" s="133"/>
      <c r="GR150" s="133"/>
      <c r="GS150" s="133"/>
      <c r="GT150" s="133"/>
      <c r="GU150" s="133"/>
      <c r="GV150" s="133"/>
      <c r="GW150" s="133"/>
      <c r="GX150" s="133"/>
      <c r="GY150" s="133"/>
      <c r="GZ150" s="133"/>
      <c r="HA150" s="133"/>
      <c r="HB150" s="133"/>
      <c r="HC150" s="133"/>
      <c r="HD150" s="133"/>
      <c r="HE150" s="133"/>
      <c r="HF150" s="133"/>
      <c r="HG150" s="133"/>
      <c r="HH150" s="133"/>
      <c r="HI150" s="133"/>
      <c r="HJ150" s="133"/>
      <c r="HK150" s="133"/>
      <c r="HL150" s="133"/>
      <c r="HM150" s="133"/>
      <c r="HN150" s="133"/>
      <c r="HO150" s="133"/>
      <c r="HP150" s="133"/>
      <c r="HQ150" s="133"/>
      <c r="HR150" s="133"/>
      <c r="HS150" s="133"/>
      <c r="HT150" s="133"/>
      <c r="HU150" s="133"/>
      <c r="HV150" s="133"/>
      <c r="HW150" s="133"/>
      <c r="HX150" s="133"/>
      <c r="HY150" s="133"/>
      <c r="HZ150" s="133"/>
      <c r="IA150" s="133"/>
      <c r="IB150" s="133"/>
      <c r="IC150" s="133"/>
      <c r="ID150" s="133"/>
      <c r="IE150" s="133"/>
      <c r="IF150" s="133"/>
      <c r="IG150" s="133"/>
      <c r="IH150" s="133"/>
      <c r="II150" s="133"/>
      <c r="IJ150" s="133"/>
      <c r="IK150" s="133"/>
      <c r="IL150" s="133"/>
      <c r="IM150" s="133"/>
      <c r="IN150" s="133"/>
      <c r="IO150" s="133"/>
      <c r="IP150" s="133"/>
      <c r="IQ150" s="133"/>
      <c r="IR150" s="133"/>
      <c r="IS150" s="133"/>
      <c r="IT150" s="133"/>
      <c r="IU150" s="133"/>
      <c r="IV150" s="133"/>
    </row>
    <row r="151" spans="1:256" s="132" customFormat="1" ht="13.8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GE151" s="133"/>
      <c r="GF151" s="133"/>
      <c r="GG151" s="133"/>
      <c r="GH151" s="133"/>
      <c r="GI151" s="133"/>
      <c r="GJ151" s="133"/>
      <c r="GK151" s="133"/>
      <c r="GL151" s="133"/>
      <c r="GM151" s="133"/>
      <c r="GN151" s="133"/>
      <c r="GO151" s="133"/>
      <c r="GP151" s="133"/>
      <c r="GQ151" s="133"/>
      <c r="GR151" s="133"/>
      <c r="GS151" s="133"/>
      <c r="GT151" s="133"/>
      <c r="GU151" s="133"/>
      <c r="GV151" s="133"/>
      <c r="GW151" s="133"/>
      <c r="GX151" s="133"/>
      <c r="GY151" s="133"/>
      <c r="GZ151" s="133"/>
      <c r="HA151" s="133"/>
      <c r="HB151" s="133"/>
      <c r="HC151" s="133"/>
      <c r="HD151" s="133"/>
      <c r="HE151" s="133"/>
      <c r="HF151" s="133"/>
      <c r="HG151" s="133"/>
      <c r="HH151" s="133"/>
      <c r="HI151" s="133"/>
      <c r="HJ151" s="133"/>
      <c r="HK151" s="133"/>
      <c r="HL151" s="133"/>
      <c r="HM151" s="133"/>
      <c r="HN151" s="133"/>
      <c r="HO151" s="133"/>
      <c r="HP151" s="133"/>
      <c r="HQ151" s="133"/>
      <c r="HR151" s="133"/>
      <c r="HS151" s="133"/>
      <c r="HT151" s="133"/>
      <c r="HU151" s="133"/>
      <c r="HV151" s="133"/>
      <c r="HW151" s="133"/>
      <c r="HX151" s="133"/>
      <c r="HY151" s="133"/>
      <c r="HZ151" s="133"/>
      <c r="IA151" s="133"/>
      <c r="IB151" s="133"/>
      <c r="IC151" s="133"/>
      <c r="ID151" s="133"/>
      <c r="IE151" s="133"/>
      <c r="IF151" s="133"/>
      <c r="IG151" s="133"/>
      <c r="IH151" s="133"/>
      <c r="II151" s="133"/>
      <c r="IJ151" s="133"/>
      <c r="IK151" s="133"/>
      <c r="IL151" s="133"/>
      <c r="IM151" s="133"/>
      <c r="IN151" s="133"/>
      <c r="IO151" s="133"/>
      <c r="IP151" s="133"/>
      <c r="IQ151" s="133"/>
      <c r="IR151" s="133"/>
      <c r="IS151" s="133"/>
      <c r="IT151" s="133"/>
      <c r="IU151" s="133"/>
      <c r="IV151" s="133"/>
    </row>
    <row r="152" spans="1:256" s="132" customFormat="1" ht="13.8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GE152" s="133"/>
      <c r="GF152" s="133"/>
      <c r="GG152" s="133"/>
      <c r="GH152" s="133"/>
      <c r="GI152" s="133"/>
      <c r="GJ152" s="133"/>
      <c r="GK152" s="133"/>
      <c r="GL152" s="133"/>
      <c r="GM152" s="133"/>
      <c r="GN152" s="133"/>
      <c r="GO152" s="133"/>
      <c r="GP152" s="133"/>
      <c r="GQ152" s="133"/>
      <c r="GR152" s="133"/>
      <c r="GS152" s="133"/>
      <c r="GT152" s="133"/>
      <c r="GU152" s="133"/>
      <c r="GV152" s="133"/>
      <c r="GW152" s="133"/>
      <c r="GX152" s="133"/>
      <c r="GY152" s="133"/>
      <c r="GZ152" s="133"/>
      <c r="HA152" s="133"/>
      <c r="HB152" s="133"/>
      <c r="HC152" s="133"/>
      <c r="HD152" s="133"/>
      <c r="HE152" s="133"/>
      <c r="HF152" s="133"/>
      <c r="HG152" s="133"/>
      <c r="HH152" s="133"/>
      <c r="HI152" s="133"/>
      <c r="HJ152" s="133"/>
      <c r="HK152" s="133"/>
      <c r="HL152" s="133"/>
      <c r="HM152" s="133"/>
      <c r="HN152" s="133"/>
      <c r="HO152" s="133"/>
      <c r="HP152" s="133"/>
      <c r="HQ152" s="133"/>
      <c r="HR152" s="133"/>
      <c r="HS152" s="133"/>
      <c r="HT152" s="133"/>
      <c r="HU152" s="133"/>
      <c r="HV152" s="133"/>
      <c r="HW152" s="133"/>
      <c r="HX152" s="133"/>
      <c r="HY152" s="133"/>
      <c r="HZ152" s="133"/>
      <c r="IA152" s="133"/>
      <c r="IB152" s="133"/>
      <c r="IC152" s="133"/>
      <c r="ID152" s="133"/>
      <c r="IE152" s="133"/>
      <c r="IF152" s="133"/>
      <c r="IG152" s="133"/>
      <c r="IH152" s="133"/>
      <c r="II152" s="133"/>
      <c r="IJ152" s="133"/>
      <c r="IK152" s="133"/>
      <c r="IL152" s="133"/>
      <c r="IM152" s="133"/>
      <c r="IN152" s="133"/>
      <c r="IO152" s="133"/>
      <c r="IP152" s="133"/>
      <c r="IQ152" s="133"/>
      <c r="IR152" s="133"/>
      <c r="IS152" s="133"/>
      <c r="IT152" s="133"/>
      <c r="IU152" s="133"/>
      <c r="IV152" s="133"/>
    </row>
    <row r="153" spans="1:256" s="132" customFormat="1" ht="13.8">
      <c r="A153" s="133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GE153" s="133"/>
      <c r="GF153" s="133"/>
      <c r="GG153" s="133"/>
      <c r="GH153" s="133"/>
      <c r="GI153" s="133"/>
      <c r="GJ153" s="133"/>
      <c r="GK153" s="133"/>
      <c r="GL153" s="133"/>
      <c r="GM153" s="133"/>
      <c r="GN153" s="133"/>
      <c r="GO153" s="133"/>
      <c r="GP153" s="133"/>
      <c r="GQ153" s="133"/>
      <c r="GR153" s="133"/>
      <c r="GS153" s="133"/>
      <c r="GT153" s="133"/>
      <c r="GU153" s="133"/>
      <c r="GV153" s="133"/>
      <c r="GW153" s="133"/>
      <c r="GX153" s="133"/>
      <c r="GY153" s="133"/>
      <c r="GZ153" s="133"/>
      <c r="HA153" s="133"/>
      <c r="HB153" s="133"/>
      <c r="HC153" s="133"/>
      <c r="HD153" s="133"/>
      <c r="HE153" s="133"/>
      <c r="HF153" s="133"/>
      <c r="HG153" s="133"/>
      <c r="HH153" s="133"/>
      <c r="HI153" s="133"/>
      <c r="HJ153" s="133"/>
      <c r="HK153" s="133"/>
      <c r="HL153" s="133"/>
      <c r="HM153" s="133"/>
      <c r="HN153" s="133"/>
      <c r="HO153" s="133"/>
      <c r="HP153" s="133"/>
      <c r="HQ153" s="133"/>
      <c r="HR153" s="133"/>
      <c r="HS153" s="133"/>
      <c r="HT153" s="133"/>
      <c r="HU153" s="133"/>
      <c r="HV153" s="133"/>
      <c r="HW153" s="133"/>
      <c r="HX153" s="133"/>
      <c r="HY153" s="133"/>
      <c r="HZ153" s="133"/>
      <c r="IA153" s="133"/>
      <c r="IB153" s="133"/>
      <c r="IC153" s="133"/>
      <c r="ID153" s="133"/>
      <c r="IE153" s="133"/>
      <c r="IF153" s="133"/>
      <c r="IG153" s="133"/>
      <c r="IH153" s="133"/>
      <c r="II153" s="133"/>
      <c r="IJ153" s="133"/>
      <c r="IK153" s="133"/>
      <c r="IL153" s="133"/>
      <c r="IM153" s="133"/>
      <c r="IN153" s="133"/>
      <c r="IO153" s="133"/>
      <c r="IP153" s="133"/>
      <c r="IQ153" s="133"/>
      <c r="IR153" s="133"/>
      <c r="IS153" s="133"/>
      <c r="IT153" s="133"/>
      <c r="IU153" s="133"/>
      <c r="IV153" s="133"/>
    </row>
    <row r="154" spans="1:256" s="132" customFormat="1" ht="13.8">
      <c r="A154" s="133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GE154" s="133"/>
      <c r="GF154" s="133"/>
      <c r="GG154" s="133"/>
      <c r="GH154" s="133"/>
      <c r="GI154" s="133"/>
      <c r="GJ154" s="133"/>
      <c r="GK154" s="133"/>
      <c r="GL154" s="133"/>
      <c r="GM154" s="133"/>
      <c r="GN154" s="133"/>
      <c r="GO154" s="133"/>
      <c r="GP154" s="133"/>
      <c r="GQ154" s="133"/>
      <c r="GR154" s="133"/>
      <c r="GS154" s="133"/>
      <c r="GT154" s="133"/>
      <c r="GU154" s="133"/>
      <c r="GV154" s="133"/>
      <c r="GW154" s="133"/>
      <c r="GX154" s="133"/>
      <c r="GY154" s="133"/>
      <c r="GZ154" s="133"/>
      <c r="HA154" s="133"/>
      <c r="HB154" s="133"/>
      <c r="HC154" s="133"/>
      <c r="HD154" s="133"/>
      <c r="HE154" s="133"/>
      <c r="HF154" s="133"/>
      <c r="HG154" s="133"/>
      <c r="HH154" s="133"/>
      <c r="HI154" s="133"/>
      <c r="HJ154" s="133"/>
      <c r="HK154" s="133"/>
      <c r="HL154" s="133"/>
      <c r="HM154" s="133"/>
      <c r="HN154" s="133"/>
      <c r="HO154" s="133"/>
      <c r="HP154" s="133"/>
      <c r="HQ154" s="133"/>
      <c r="HR154" s="133"/>
      <c r="HS154" s="133"/>
      <c r="HT154" s="133"/>
      <c r="HU154" s="133"/>
      <c r="HV154" s="133"/>
      <c r="HW154" s="133"/>
      <c r="HX154" s="133"/>
      <c r="HY154" s="133"/>
      <c r="HZ154" s="133"/>
      <c r="IA154" s="133"/>
      <c r="IB154" s="133"/>
      <c r="IC154" s="133"/>
      <c r="ID154" s="133"/>
      <c r="IE154" s="133"/>
      <c r="IF154" s="133"/>
      <c r="IG154" s="133"/>
      <c r="IH154" s="133"/>
      <c r="II154" s="133"/>
      <c r="IJ154" s="133"/>
      <c r="IK154" s="133"/>
      <c r="IL154" s="133"/>
      <c r="IM154" s="133"/>
      <c r="IN154" s="133"/>
      <c r="IO154" s="133"/>
      <c r="IP154" s="133"/>
      <c r="IQ154" s="133"/>
      <c r="IR154" s="133"/>
      <c r="IS154" s="133"/>
      <c r="IT154" s="133"/>
      <c r="IU154" s="133"/>
      <c r="IV154" s="133"/>
    </row>
    <row r="155" spans="1:256" s="132" customFormat="1" ht="13.8">
      <c r="A155" s="133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GE155" s="133"/>
      <c r="GF155" s="133"/>
      <c r="GG155" s="133"/>
      <c r="GH155" s="133"/>
      <c r="GI155" s="133"/>
      <c r="GJ155" s="133"/>
      <c r="GK155" s="133"/>
      <c r="GL155" s="133"/>
      <c r="GM155" s="133"/>
      <c r="GN155" s="133"/>
      <c r="GO155" s="133"/>
      <c r="GP155" s="133"/>
      <c r="GQ155" s="133"/>
      <c r="GR155" s="133"/>
      <c r="GS155" s="133"/>
      <c r="GT155" s="133"/>
      <c r="GU155" s="133"/>
      <c r="GV155" s="133"/>
      <c r="GW155" s="133"/>
      <c r="GX155" s="133"/>
      <c r="GY155" s="133"/>
      <c r="GZ155" s="133"/>
      <c r="HA155" s="133"/>
      <c r="HB155" s="133"/>
      <c r="HC155" s="133"/>
      <c r="HD155" s="133"/>
      <c r="HE155" s="133"/>
      <c r="HF155" s="133"/>
      <c r="HG155" s="133"/>
      <c r="HH155" s="133"/>
      <c r="HI155" s="133"/>
      <c r="HJ155" s="133"/>
      <c r="HK155" s="133"/>
      <c r="HL155" s="133"/>
      <c r="HM155" s="133"/>
      <c r="HN155" s="133"/>
      <c r="HO155" s="133"/>
      <c r="HP155" s="133"/>
      <c r="HQ155" s="133"/>
      <c r="HR155" s="133"/>
      <c r="HS155" s="133"/>
      <c r="HT155" s="133"/>
      <c r="HU155" s="133"/>
      <c r="HV155" s="133"/>
      <c r="HW155" s="133"/>
      <c r="HX155" s="133"/>
      <c r="HY155" s="133"/>
      <c r="HZ155" s="133"/>
      <c r="IA155" s="133"/>
      <c r="IB155" s="133"/>
      <c r="IC155" s="133"/>
      <c r="ID155" s="133"/>
      <c r="IE155" s="133"/>
      <c r="IF155" s="133"/>
      <c r="IG155" s="133"/>
      <c r="IH155" s="133"/>
      <c r="II155" s="133"/>
      <c r="IJ155" s="133"/>
      <c r="IK155" s="133"/>
      <c r="IL155" s="133"/>
      <c r="IM155" s="133"/>
      <c r="IN155" s="133"/>
      <c r="IO155" s="133"/>
      <c r="IP155" s="133"/>
      <c r="IQ155" s="133"/>
      <c r="IR155" s="133"/>
      <c r="IS155" s="133"/>
      <c r="IT155" s="133"/>
      <c r="IU155" s="133"/>
      <c r="IV155" s="133"/>
    </row>
    <row r="156" spans="1:256" s="132" customFormat="1" ht="13.8">
      <c r="A156" s="133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GE156" s="133"/>
      <c r="GF156" s="133"/>
      <c r="GG156" s="133"/>
      <c r="GH156" s="133"/>
      <c r="GI156" s="133"/>
      <c r="GJ156" s="133"/>
      <c r="GK156" s="133"/>
      <c r="GL156" s="133"/>
      <c r="GM156" s="133"/>
      <c r="GN156" s="133"/>
      <c r="GO156" s="133"/>
      <c r="GP156" s="133"/>
      <c r="GQ156" s="133"/>
      <c r="GR156" s="133"/>
      <c r="GS156" s="133"/>
      <c r="GT156" s="133"/>
      <c r="GU156" s="133"/>
      <c r="GV156" s="133"/>
      <c r="GW156" s="133"/>
      <c r="GX156" s="133"/>
      <c r="GY156" s="133"/>
      <c r="GZ156" s="133"/>
      <c r="HA156" s="133"/>
      <c r="HB156" s="133"/>
      <c r="HC156" s="133"/>
      <c r="HD156" s="133"/>
      <c r="HE156" s="133"/>
      <c r="HF156" s="133"/>
      <c r="HG156" s="133"/>
      <c r="HH156" s="133"/>
      <c r="HI156" s="133"/>
      <c r="HJ156" s="133"/>
      <c r="HK156" s="133"/>
      <c r="HL156" s="133"/>
      <c r="HM156" s="133"/>
      <c r="HN156" s="133"/>
      <c r="HO156" s="133"/>
      <c r="HP156" s="133"/>
      <c r="HQ156" s="133"/>
      <c r="HR156" s="133"/>
      <c r="HS156" s="133"/>
      <c r="HT156" s="133"/>
      <c r="HU156" s="133"/>
      <c r="HV156" s="133"/>
      <c r="HW156" s="133"/>
      <c r="HX156" s="133"/>
      <c r="HY156" s="133"/>
      <c r="HZ156" s="133"/>
      <c r="IA156" s="133"/>
      <c r="IB156" s="133"/>
      <c r="IC156" s="133"/>
      <c r="ID156" s="133"/>
      <c r="IE156" s="133"/>
      <c r="IF156" s="133"/>
      <c r="IG156" s="133"/>
      <c r="IH156" s="133"/>
      <c r="II156" s="133"/>
      <c r="IJ156" s="133"/>
      <c r="IK156" s="133"/>
      <c r="IL156" s="133"/>
      <c r="IM156" s="133"/>
      <c r="IN156" s="133"/>
      <c r="IO156" s="133"/>
      <c r="IP156" s="133"/>
      <c r="IQ156" s="133"/>
      <c r="IR156" s="133"/>
      <c r="IS156" s="133"/>
      <c r="IT156" s="133"/>
      <c r="IU156" s="133"/>
      <c r="IV156" s="133"/>
    </row>
    <row r="157" spans="1:256" s="132" customFormat="1" ht="13.8">
      <c r="A157" s="133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GE157" s="133"/>
      <c r="GF157" s="133"/>
      <c r="GG157" s="133"/>
      <c r="GH157" s="133"/>
      <c r="GI157" s="133"/>
      <c r="GJ157" s="133"/>
      <c r="GK157" s="133"/>
      <c r="GL157" s="133"/>
      <c r="GM157" s="133"/>
      <c r="GN157" s="133"/>
      <c r="GO157" s="133"/>
      <c r="GP157" s="133"/>
      <c r="GQ157" s="133"/>
      <c r="GR157" s="133"/>
      <c r="GS157" s="133"/>
      <c r="GT157" s="133"/>
      <c r="GU157" s="133"/>
      <c r="GV157" s="133"/>
      <c r="GW157" s="133"/>
      <c r="GX157" s="133"/>
      <c r="GY157" s="133"/>
      <c r="GZ157" s="133"/>
      <c r="HA157" s="133"/>
      <c r="HB157" s="133"/>
      <c r="HC157" s="133"/>
      <c r="HD157" s="133"/>
      <c r="HE157" s="133"/>
      <c r="HF157" s="133"/>
      <c r="HG157" s="133"/>
      <c r="HH157" s="133"/>
      <c r="HI157" s="133"/>
      <c r="HJ157" s="133"/>
      <c r="HK157" s="133"/>
      <c r="HL157" s="133"/>
      <c r="HM157" s="133"/>
      <c r="HN157" s="133"/>
      <c r="HO157" s="133"/>
      <c r="HP157" s="133"/>
      <c r="HQ157" s="133"/>
      <c r="HR157" s="133"/>
      <c r="HS157" s="133"/>
      <c r="HT157" s="133"/>
      <c r="HU157" s="133"/>
      <c r="HV157" s="133"/>
      <c r="HW157" s="133"/>
      <c r="HX157" s="133"/>
      <c r="HY157" s="133"/>
      <c r="HZ157" s="133"/>
      <c r="IA157" s="133"/>
      <c r="IB157" s="133"/>
      <c r="IC157" s="133"/>
      <c r="ID157" s="133"/>
      <c r="IE157" s="133"/>
      <c r="IF157" s="133"/>
      <c r="IG157" s="133"/>
      <c r="IH157" s="133"/>
      <c r="II157" s="133"/>
      <c r="IJ157" s="133"/>
      <c r="IK157" s="133"/>
      <c r="IL157" s="133"/>
      <c r="IM157" s="133"/>
      <c r="IN157" s="133"/>
      <c r="IO157" s="133"/>
      <c r="IP157" s="133"/>
      <c r="IQ157" s="133"/>
      <c r="IR157" s="133"/>
      <c r="IS157" s="133"/>
      <c r="IT157" s="133"/>
      <c r="IU157" s="133"/>
      <c r="IV157" s="133"/>
    </row>
    <row r="158" spans="1:256" s="132" customFormat="1" ht="13.8">
      <c r="A158" s="133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GE158" s="133"/>
      <c r="GF158" s="133"/>
      <c r="GG158" s="133"/>
      <c r="GH158" s="133"/>
      <c r="GI158" s="133"/>
      <c r="GJ158" s="133"/>
      <c r="GK158" s="133"/>
      <c r="GL158" s="133"/>
      <c r="GM158" s="133"/>
      <c r="GN158" s="133"/>
      <c r="GO158" s="133"/>
      <c r="GP158" s="133"/>
      <c r="GQ158" s="133"/>
      <c r="GR158" s="133"/>
      <c r="GS158" s="133"/>
      <c r="GT158" s="133"/>
      <c r="GU158" s="133"/>
      <c r="GV158" s="133"/>
      <c r="GW158" s="133"/>
      <c r="GX158" s="133"/>
      <c r="GY158" s="133"/>
      <c r="GZ158" s="133"/>
      <c r="HA158" s="133"/>
      <c r="HB158" s="133"/>
      <c r="HC158" s="133"/>
      <c r="HD158" s="133"/>
      <c r="HE158" s="133"/>
      <c r="HF158" s="133"/>
      <c r="HG158" s="133"/>
      <c r="HH158" s="133"/>
      <c r="HI158" s="133"/>
      <c r="HJ158" s="133"/>
      <c r="HK158" s="133"/>
      <c r="HL158" s="133"/>
      <c r="HM158" s="133"/>
      <c r="HN158" s="133"/>
      <c r="HO158" s="133"/>
      <c r="HP158" s="133"/>
      <c r="HQ158" s="133"/>
      <c r="HR158" s="133"/>
      <c r="HS158" s="133"/>
      <c r="HT158" s="133"/>
      <c r="HU158" s="133"/>
      <c r="HV158" s="133"/>
      <c r="HW158" s="133"/>
      <c r="HX158" s="133"/>
      <c r="HY158" s="133"/>
      <c r="HZ158" s="133"/>
      <c r="IA158" s="133"/>
      <c r="IB158" s="133"/>
      <c r="IC158" s="133"/>
      <c r="ID158" s="133"/>
      <c r="IE158" s="133"/>
      <c r="IF158" s="133"/>
      <c r="IG158" s="133"/>
      <c r="IH158" s="133"/>
      <c r="II158" s="133"/>
      <c r="IJ158" s="133"/>
      <c r="IK158" s="133"/>
      <c r="IL158" s="133"/>
      <c r="IM158" s="133"/>
      <c r="IN158" s="133"/>
      <c r="IO158" s="133"/>
      <c r="IP158" s="133"/>
      <c r="IQ158" s="133"/>
      <c r="IR158" s="133"/>
      <c r="IS158" s="133"/>
      <c r="IT158" s="133"/>
      <c r="IU158" s="133"/>
      <c r="IV158" s="133"/>
    </row>
    <row r="159" spans="1:256" s="132" customFormat="1" ht="13.8">
      <c r="A159" s="133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GE159" s="133"/>
      <c r="GF159" s="133"/>
      <c r="GG159" s="133"/>
      <c r="GH159" s="133"/>
      <c r="GI159" s="133"/>
      <c r="GJ159" s="133"/>
      <c r="GK159" s="133"/>
      <c r="GL159" s="133"/>
      <c r="GM159" s="133"/>
      <c r="GN159" s="133"/>
      <c r="GO159" s="133"/>
      <c r="GP159" s="133"/>
      <c r="GQ159" s="133"/>
      <c r="GR159" s="133"/>
      <c r="GS159" s="133"/>
      <c r="GT159" s="133"/>
      <c r="GU159" s="133"/>
      <c r="GV159" s="133"/>
      <c r="GW159" s="133"/>
      <c r="GX159" s="133"/>
      <c r="GY159" s="133"/>
      <c r="GZ159" s="133"/>
      <c r="HA159" s="133"/>
      <c r="HB159" s="133"/>
      <c r="HC159" s="133"/>
      <c r="HD159" s="133"/>
      <c r="HE159" s="133"/>
      <c r="HF159" s="133"/>
      <c r="HG159" s="133"/>
      <c r="HH159" s="133"/>
      <c r="HI159" s="133"/>
      <c r="HJ159" s="133"/>
      <c r="HK159" s="133"/>
      <c r="HL159" s="133"/>
      <c r="HM159" s="133"/>
      <c r="HN159" s="133"/>
      <c r="HO159" s="133"/>
      <c r="HP159" s="133"/>
      <c r="HQ159" s="133"/>
      <c r="HR159" s="133"/>
      <c r="HS159" s="133"/>
      <c r="HT159" s="133"/>
      <c r="HU159" s="133"/>
      <c r="HV159" s="133"/>
      <c r="HW159" s="133"/>
      <c r="HX159" s="133"/>
      <c r="HY159" s="133"/>
      <c r="HZ159" s="133"/>
      <c r="IA159" s="133"/>
      <c r="IB159" s="133"/>
      <c r="IC159" s="133"/>
      <c r="ID159" s="133"/>
      <c r="IE159" s="133"/>
      <c r="IF159" s="133"/>
      <c r="IG159" s="133"/>
      <c r="IH159" s="133"/>
      <c r="II159" s="133"/>
      <c r="IJ159" s="133"/>
      <c r="IK159" s="133"/>
      <c r="IL159" s="133"/>
      <c r="IM159" s="133"/>
      <c r="IN159" s="133"/>
      <c r="IO159" s="133"/>
      <c r="IP159" s="133"/>
      <c r="IQ159" s="133"/>
      <c r="IR159" s="133"/>
      <c r="IS159" s="133"/>
      <c r="IT159" s="133"/>
      <c r="IU159" s="133"/>
      <c r="IV159" s="133"/>
    </row>
    <row r="160" spans="1:256" s="132" customFormat="1" ht="13.8">
      <c r="A160" s="133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GE160" s="133"/>
      <c r="GF160" s="133"/>
      <c r="GG160" s="133"/>
      <c r="GH160" s="133"/>
      <c r="GI160" s="133"/>
      <c r="GJ160" s="133"/>
      <c r="GK160" s="133"/>
      <c r="GL160" s="133"/>
      <c r="GM160" s="133"/>
      <c r="GN160" s="133"/>
      <c r="GO160" s="133"/>
      <c r="GP160" s="133"/>
      <c r="GQ160" s="133"/>
      <c r="GR160" s="133"/>
      <c r="GS160" s="133"/>
      <c r="GT160" s="133"/>
      <c r="GU160" s="133"/>
      <c r="GV160" s="133"/>
      <c r="GW160" s="133"/>
      <c r="GX160" s="133"/>
      <c r="GY160" s="133"/>
      <c r="GZ160" s="133"/>
      <c r="HA160" s="133"/>
      <c r="HB160" s="133"/>
      <c r="HC160" s="133"/>
      <c r="HD160" s="133"/>
      <c r="HE160" s="133"/>
      <c r="HF160" s="133"/>
      <c r="HG160" s="133"/>
      <c r="HH160" s="133"/>
      <c r="HI160" s="133"/>
      <c r="HJ160" s="133"/>
      <c r="HK160" s="133"/>
      <c r="HL160" s="133"/>
      <c r="HM160" s="133"/>
      <c r="HN160" s="133"/>
      <c r="HO160" s="133"/>
      <c r="HP160" s="133"/>
      <c r="HQ160" s="133"/>
      <c r="HR160" s="133"/>
      <c r="HS160" s="133"/>
      <c r="HT160" s="133"/>
      <c r="HU160" s="133"/>
      <c r="HV160" s="133"/>
      <c r="HW160" s="133"/>
      <c r="HX160" s="133"/>
      <c r="HY160" s="133"/>
      <c r="HZ160" s="133"/>
      <c r="IA160" s="133"/>
      <c r="IB160" s="133"/>
      <c r="IC160" s="133"/>
      <c r="ID160" s="133"/>
      <c r="IE160" s="133"/>
      <c r="IF160" s="133"/>
      <c r="IG160" s="133"/>
      <c r="IH160" s="133"/>
      <c r="II160" s="133"/>
      <c r="IJ160" s="133"/>
      <c r="IK160" s="133"/>
      <c r="IL160" s="133"/>
      <c r="IM160" s="133"/>
      <c r="IN160" s="133"/>
      <c r="IO160" s="133"/>
      <c r="IP160" s="133"/>
      <c r="IQ160" s="133"/>
      <c r="IR160" s="133"/>
      <c r="IS160" s="133"/>
      <c r="IT160" s="133"/>
      <c r="IU160" s="133"/>
      <c r="IV160" s="133"/>
    </row>
    <row r="161" spans="1:256" s="132" customFormat="1" ht="13.8">
      <c r="A161" s="133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GE161" s="133"/>
      <c r="GF161" s="133"/>
      <c r="GG161" s="133"/>
      <c r="GH161" s="133"/>
      <c r="GI161" s="133"/>
      <c r="GJ161" s="133"/>
      <c r="GK161" s="133"/>
      <c r="GL161" s="133"/>
      <c r="GM161" s="133"/>
      <c r="GN161" s="133"/>
      <c r="GO161" s="133"/>
      <c r="GP161" s="133"/>
      <c r="GQ161" s="133"/>
      <c r="GR161" s="133"/>
      <c r="GS161" s="133"/>
      <c r="GT161" s="133"/>
      <c r="GU161" s="133"/>
      <c r="GV161" s="133"/>
      <c r="GW161" s="133"/>
      <c r="GX161" s="133"/>
      <c r="GY161" s="133"/>
      <c r="GZ161" s="133"/>
      <c r="HA161" s="133"/>
      <c r="HB161" s="133"/>
      <c r="HC161" s="133"/>
      <c r="HD161" s="133"/>
      <c r="HE161" s="133"/>
      <c r="HF161" s="133"/>
      <c r="HG161" s="133"/>
      <c r="HH161" s="133"/>
      <c r="HI161" s="133"/>
      <c r="HJ161" s="133"/>
      <c r="HK161" s="133"/>
      <c r="HL161" s="133"/>
      <c r="HM161" s="133"/>
      <c r="HN161" s="133"/>
      <c r="HO161" s="133"/>
      <c r="HP161" s="133"/>
      <c r="HQ161" s="133"/>
      <c r="HR161" s="133"/>
      <c r="HS161" s="133"/>
      <c r="HT161" s="133"/>
      <c r="HU161" s="133"/>
      <c r="HV161" s="133"/>
      <c r="HW161" s="133"/>
      <c r="HX161" s="133"/>
      <c r="HY161" s="133"/>
      <c r="HZ161" s="133"/>
      <c r="IA161" s="133"/>
      <c r="IB161" s="133"/>
      <c r="IC161" s="133"/>
      <c r="ID161" s="133"/>
      <c r="IE161" s="133"/>
      <c r="IF161" s="133"/>
      <c r="IG161" s="133"/>
      <c r="IH161" s="133"/>
      <c r="II161" s="133"/>
      <c r="IJ161" s="133"/>
      <c r="IK161" s="133"/>
      <c r="IL161" s="133"/>
      <c r="IM161" s="133"/>
      <c r="IN161" s="133"/>
      <c r="IO161" s="133"/>
      <c r="IP161" s="133"/>
      <c r="IQ161" s="133"/>
      <c r="IR161" s="133"/>
      <c r="IS161" s="133"/>
      <c r="IT161" s="133"/>
      <c r="IU161" s="133"/>
      <c r="IV161" s="133"/>
    </row>
    <row r="162" spans="1:256" s="132" customFormat="1" ht="13.8">
      <c r="A162" s="133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GE162" s="133"/>
      <c r="GF162" s="133"/>
      <c r="GG162" s="133"/>
      <c r="GH162" s="133"/>
      <c r="GI162" s="133"/>
      <c r="GJ162" s="133"/>
      <c r="GK162" s="133"/>
      <c r="GL162" s="133"/>
      <c r="GM162" s="133"/>
      <c r="GN162" s="133"/>
      <c r="GO162" s="133"/>
      <c r="GP162" s="133"/>
      <c r="GQ162" s="133"/>
      <c r="GR162" s="133"/>
      <c r="GS162" s="133"/>
      <c r="GT162" s="133"/>
      <c r="GU162" s="133"/>
      <c r="GV162" s="133"/>
      <c r="GW162" s="133"/>
      <c r="GX162" s="133"/>
      <c r="GY162" s="133"/>
      <c r="GZ162" s="133"/>
      <c r="HA162" s="133"/>
      <c r="HB162" s="133"/>
      <c r="HC162" s="133"/>
      <c r="HD162" s="133"/>
      <c r="HE162" s="133"/>
      <c r="HF162" s="133"/>
      <c r="HG162" s="133"/>
      <c r="HH162" s="133"/>
      <c r="HI162" s="133"/>
      <c r="HJ162" s="133"/>
      <c r="HK162" s="133"/>
      <c r="HL162" s="133"/>
      <c r="HM162" s="133"/>
      <c r="HN162" s="133"/>
      <c r="HO162" s="133"/>
      <c r="HP162" s="133"/>
      <c r="HQ162" s="133"/>
      <c r="HR162" s="133"/>
      <c r="HS162" s="133"/>
      <c r="HT162" s="133"/>
      <c r="HU162" s="133"/>
      <c r="HV162" s="133"/>
      <c r="HW162" s="133"/>
      <c r="HX162" s="133"/>
      <c r="HY162" s="133"/>
      <c r="HZ162" s="133"/>
      <c r="IA162" s="133"/>
      <c r="IB162" s="133"/>
      <c r="IC162" s="133"/>
      <c r="ID162" s="133"/>
      <c r="IE162" s="133"/>
      <c r="IF162" s="133"/>
      <c r="IG162" s="133"/>
      <c r="IH162" s="133"/>
      <c r="II162" s="133"/>
      <c r="IJ162" s="133"/>
      <c r="IK162" s="133"/>
      <c r="IL162" s="133"/>
      <c r="IM162" s="133"/>
      <c r="IN162" s="133"/>
      <c r="IO162" s="133"/>
      <c r="IP162" s="133"/>
      <c r="IQ162" s="133"/>
      <c r="IR162" s="133"/>
      <c r="IS162" s="133"/>
      <c r="IT162" s="133"/>
      <c r="IU162" s="133"/>
      <c r="IV162" s="133"/>
    </row>
    <row r="163" spans="1:256" s="132" customFormat="1" ht="13.8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GE163" s="133"/>
      <c r="GF163" s="133"/>
      <c r="GG163" s="133"/>
      <c r="GH163" s="133"/>
      <c r="GI163" s="133"/>
      <c r="GJ163" s="133"/>
      <c r="GK163" s="133"/>
      <c r="GL163" s="133"/>
      <c r="GM163" s="133"/>
      <c r="GN163" s="133"/>
      <c r="GO163" s="133"/>
      <c r="GP163" s="133"/>
      <c r="GQ163" s="133"/>
      <c r="GR163" s="133"/>
      <c r="GS163" s="133"/>
      <c r="GT163" s="133"/>
      <c r="GU163" s="133"/>
      <c r="GV163" s="133"/>
      <c r="GW163" s="133"/>
      <c r="GX163" s="133"/>
      <c r="GY163" s="133"/>
      <c r="GZ163" s="133"/>
      <c r="HA163" s="133"/>
      <c r="HB163" s="133"/>
      <c r="HC163" s="133"/>
      <c r="HD163" s="133"/>
      <c r="HE163" s="133"/>
      <c r="HF163" s="133"/>
      <c r="HG163" s="133"/>
      <c r="HH163" s="133"/>
      <c r="HI163" s="133"/>
      <c r="HJ163" s="133"/>
      <c r="HK163" s="133"/>
      <c r="HL163" s="133"/>
      <c r="HM163" s="133"/>
      <c r="HN163" s="133"/>
      <c r="HO163" s="133"/>
      <c r="HP163" s="133"/>
      <c r="HQ163" s="133"/>
      <c r="HR163" s="133"/>
      <c r="HS163" s="133"/>
      <c r="HT163" s="133"/>
      <c r="HU163" s="133"/>
      <c r="HV163" s="133"/>
      <c r="HW163" s="133"/>
      <c r="HX163" s="133"/>
      <c r="HY163" s="133"/>
      <c r="HZ163" s="133"/>
      <c r="IA163" s="133"/>
      <c r="IB163" s="133"/>
      <c r="IC163" s="133"/>
      <c r="ID163" s="133"/>
      <c r="IE163" s="133"/>
      <c r="IF163" s="133"/>
      <c r="IG163" s="133"/>
      <c r="IH163" s="133"/>
      <c r="II163" s="133"/>
      <c r="IJ163" s="133"/>
      <c r="IK163" s="133"/>
      <c r="IL163" s="133"/>
      <c r="IM163" s="133"/>
      <c r="IN163" s="133"/>
      <c r="IO163" s="133"/>
      <c r="IP163" s="133"/>
      <c r="IQ163" s="133"/>
      <c r="IR163" s="133"/>
      <c r="IS163" s="133"/>
      <c r="IT163" s="133"/>
      <c r="IU163" s="133"/>
      <c r="IV163" s="133"/>
    </row>
    <row r="164" spans="1:256" s="132" customFormat="1" ht="13.8">
      <c r="A164" s="133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GE164" s="133"/>
      <c r="GF164" s="133"/>
      <c r="GG164" s="133"/>
      <c r="GH164" s="133"/>
      <c r="GI164" s="133"/>
      <c r="GJ164" s="133"/>
      <c r="GK164" s="133"/>
      <c r="GL164" s="133"/>
      <c r="GM164" s="133"/>
      <c r="GN164" s="133"/>
      <c r="GO164" s="133"/>
      <c r="GP164" s="133"/>
      <c r="GQ164" s="133"/>
      <c r="GR164" s="133"/>
      <c r="GS164" s="133"/>
      <c r="GT164" s="133"/>
      <c r="GU164" s="133"/>
      <c r="GV164" s="133"/>
      <c r="GW164" s="133"/>
      <c r="GX164" s="133"/>
      <c r="GY164" s="133"/>
      <c r="GZ164" s="133"/>
      <c r="HA164" s="133"/>
      <c r="HB164" s="133"/>
      <c r="HC164" s="133"/>
      <c r="HD164" s="133"/>
      <c r="HE164" s="133"/>
      <c r="HF164" s="133"/>
      <c r="HG164" s="133"/>
      <c r="HH164" s="133"/>
      <c r="HI164" s="133"/>
      <c r="HJ164" s="133"/>
      <c r="HK164" s="133"/>
      <c r="HL164" s="133"/>
      <c r="HM164" s="133"/>
      <c r="HN164" s="133"/>
      <c r="HO164" s="133"/>
      <c r="HP164" s="133"/>
      <c r="HQ164" s="133"/>
      <c r="HR164" s="133"/>
      <c r="HS164" s="133"/>
      <c r="HT164" s="133"/>
      <c r="HU164" s="133"/>
      <c r="HV164" s="133"/>
      <c r="HW164" s="133"/>
      <c r="HX164" s="133"/>
      <c r="HY164" s="133"/>
      <c r="HZ164" s="133"/>
      <c r="IA164" s="133"/>
      <c r="IB164" s="133"/>
      <c r="IC164" s="133"/>
      <c r="ID164" s="133"/>
      <c r="IE164" s="133"/>
      <c r="IF164" s="133"/>
      <c r="IG164" s="133"/>
      <c r="IH164" s="133"/>
      <c r="II164" s="133"/>
      <c r="IJ164" s="133"/>
      <c r="IK164" s="133"/>
      <c r="IL164" s="133"/>
      <c r="IM164" s="133"/>
      <c r="IN164" s="133"/>
      <c r="IO164" s="133"/>
      <c r="IP164" s="133"/>
      <c r="IQ164" s="133"/>
      <c r="IR164" s="133"/>
      <c r="IS164" s="133"/>
      <c r="IT164" s="133"/>
      <c r="IU164" s="133"/>
      <c r="IV164" s="133"/>
    </row>
    <row r="165" spans="1:256" s="132" customFormat="1" ht="13.8">
      <c r="A165" s="133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GE165" s="133"/>
      <c r="GF165" s="133"/>
      <c r="GG165" s="133"/>
      <c r="GH165" s="133"/>
      <c r="GI165" s="133"/>
      <c r="GJ165" s="133"/>
      <c r="GK165" s="133"/>
      <c r="GL165" s="133"/>
      <c r="GM165" s="133"/>
      <c r="GN165" s="133"/>
      <c r="GO165" s="133"/>
      <c r="GP165" s="133"/>
      <c r="GQ165" s="133"/>
      <c r="GR165" s="133"/>
      <c r="GS165" s="133"/>
      <c r="GT165" s="133"/>
      <c r="GU165" s="133"/>
      <c r="GV165" s="133"/>
      <c r="GW165" s="133"/>
      <c r="GX165" s="133"/>
      <c r="GY165" s="133"/>
      <c r="GZ165" s="133"/>
      <c r="HA165" s="133"/>
      <c r="HB165" s="133"/>
      <c r="HC165" s="133"/>
      <c r="HD165" s="133"/>
      <c r="HE165" s="133"/>
      <c r="HF165" s="133"/>
      <c r="HG165" s="133"/>
      <c r="HH165" s="133"/>
      <c r="HI165" s="133"/>
      <c r="HJ165" s="133"/>
      <c r="HK165" s="133"/>
      <c r="HL165" s="133"/>
      <c r="HM165" s="133"/>
      <c r="HN165" s="133"/>
      <c r="HO165" s="133"/>
      <c r="HP165" s="133"/>
      <c r="HQ165" s="133"/>
      <c r="HR165" s="133"/>
      <c r="HS165" s="133"/>
      <c r="HT165" s="133"/>
      <c r="HU165" s="133"/>
      <c r="HV165" s="133"/>
      <c r="HW165" s="133"/>
      <c r="HX165" s="133"/>
      <c r="HY165" s="133"/>
      <c r="HZ165" s="133"/>
      <c r="IA165" s="133"/>
      <c r="IB165" s="133"/>
      <c r="IC165" s="133"/>
      <c r="ID165" s="133"/>
      <c r="IE165" s="133"/>
      <c r="IF165" s="133"/>
      <c r="IG165" s="133"/>
      <c r="IH165" s="133"/>
      <c r="II165" s="133"/>
      <c r="IJ165" s="133"/>
      <c r="IK165" s="133"/>
      <c r="IL165" s="133"/>
      <c r="IM165" s="133"/>
      <c r="IN165" s="133"/>
      <c r="IO165" s="133"/>
      <c r="IP165" s="133"/>
      <c r="IQ165" s="133"/>
      <c r="IR165" s="133"/>
      <c r="IS165" s="133"/>
      <c r="IT165" s="133"/>
      <c r="IU165" s="133"/>
      <c r="IV165" s="133"/>
    </row>
    <row r="166" spans="1:256" s="132" customFormat="1" ht="13.8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GE166" s="133"/>
      <c r="GF166" s="133"/>
      <c r="GG166" s="133"/>
      <c r="GH166" s="133"/>
      <c r="GI166" s="133"/>
      <c r="GJ166" s="133"/>
      <c r="GK166" s="133"/>
      <c r="GL166" s="133"/>
      <c r="GM166" s="133"/>
      <c r="GN166" s="133"/>
      <c r="GO166" s="133"/>
      <c r="GP166" s="133"/>
      <c r="GQ166" s="133"/>
      <c r="GR166" s="133"/>
      <c r="GS166" s="133"/>
      <c r="GT166" s="133"/>
      <c r="GU166" s="133"/>
      <c r="GV166" s="133"/>
      <c r="GW166" s="133"/>
      <c r="GX166" s="133"/>
      <c r="GY166" s="133"/>
      <c r="GZ166" s="133"/>
      <c r="HA166" s="133"/>
      <c r="HB166" s="133"/>
      <c r="HC166" s="133"/>
      <c r="HD166" s="133"/>
      <c r="HE166" s="133"/>
      <c r="HF166" s="133"/>
      <c r="HG166" s="133"/>
      <c r="HH166" s="133"/>
      <c r="HI166" s="133"/>
      <c r="HJ166" s="133"/>
      <c r="HK166" s="133"/>
      <c r="HL166" s="133"/>
      <c r="HM166" s="133"/>
      <c r="HN166" s="133"/>
      <c r="HO166" s="133"/>
      <c r="HP166" s="133"/>
      <c r="HQ166" s="133"/>
      <c r="HR166" s="133"/>
      <c r="HS166" s="133"/>
      <c r="HT166" s="133"/>
      <c r="HU166" s="133"/>
      <c r="HV166" s="133"/>
      <c r="HW166" s="133"/>
      <c r="HX166" s="133"/>
      <c r="HY166" s="133"/>
      <c r="HZ166" s="133"/>
      <c r="IA166" s="133"/>
      <c r="IB166" s="133"/>
      <c r="IC166" s="133"/>
      <c r="ID166" s="133"/>
      <c r="IE166" s="133"/>
      <c r="IF166" s="133"/>
      <c r="IG166" s="133"/>
      <c r="IH166" s="133"/>
      <c r="II166" s="133"/>
      <c r="IJ166" s="133"/>
      <c r="IK166" s="133"/>
      <c r="IL166" s="133"/>
      <c r="IM166" s="133"/>
      <c r="IN166" s="133"/>
      <c r="IO166" s="133"/>
      <c r="IP166" s="133"/>
      <c r="IQ166" s="133"/>
      <c r="IR166" s="133"/>
      <c r="IS166" s="133"/>
      <c r="IT166" s="133"/>
      <c r="IU166" s="133"/>
      <c r="IV166" s="133"/>
    </row>
    <row r="167" spans="1:256" s="132" customFormat="1" ht="13.8">
      <c r="A167" s="133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GE167" s="133"/>
      <c r="GF167" s="133"/>
      <c r="GG167" s="133"/>
      <c r="GH167" s="133"/>
      <c r="GI167" s="133"/>
      <c r="GJ167" s="133"/>
      <c r="GK167" s="133"/>
      <c r="GL167" s="133"/>
      <c r="GM167" s="133"/>
      <c r="GN167" s="133"/>
      <c r="GO167" s="133"/>
      <c r="GP167" s="133"/>
      <c r="GQ167" s="133"/>
      <c r="GR167" s="133"/>
      <c r="GS167" s="133"/>
      <c r="GT167" s="133"/>
      <c r="GU167" s="133"/>
      <c r="GV167" s="133"/>
      <c r="GW167" s="133"/>
      <c r="GX167" s="133"/>
      <c r="GY167" s="133"/>
      <c r="GZ167" s="133"/>
      <c r="HA167" s="133"/>
      <c r="HB167" s="133"/>
      <c r="HC167" s="133"/>
      <c r="HD167" s="133"/>
      <c r="HE167" s="133"/>
      <c r="HF167" s="133"/>
      <c r="HG167" s="133"/>
      <c r="HH167" s="133"/>
      <c r="HI167" s="133"/>
      <c r="HJ167" s="133"/>
      <c r="HK167" s="133"/>
      <c r="HL167" s="133"/>
      <c r="HM167" s="133"/>
      <c r="HN167" s="133"/>
      <c r="HO167" s="133"/>
      <c r="HP167" s="133"/>
      <c r="HQ167" s="133"/>
      <c r="HR167" s="133"/>
      <c r="HS167" s="133"/>
      <c r="HT167" s="133"/>
      <c r="HU167" s="133"/>
      <c r="HV167" s="133"/>
      <c r="HW167" s="133"/>
      <c r="HX167" s="133"/>
      <c r="HY167" s="133"/>
      <c r="HZ167" s="133"/>
      <c r="IA167" s="133"/>
      <c r="IB167" s="133"/>
      <c r="IC167" s="133"/>
      <c r="ID167" s="133"/>
      <c r="IE167" s="133"/>
      <c r="IF167" s="133"/>
      <c r="IG167" s="133"/>
      <c r="IH167" s="133"/>
      <c r="II167" s="133"/>
      <c r="IJ167" s="133"/>
      <c r="IK167" s="133"/>
      <c r="IL167" s="133"/>
      <c r="IM167" s="133"/>
      <c r="IN167" s="133"/>
      <c r="IO167" s="133"/>
      <c r="IP167" s="133"/>
      <c r="IQ167" s="133"/>
      <c r="IR167" s="133"/>
      <c r="IS167" s="133"/>
      <c r="IT167" s="133"/>
      <c r="IU167" s="133"/>
      <c r="IV167" s="133"/>
    </row>
    <row r="168" spans="1:256" s="132" customFormat="1" ht="13.8">
      <c r="A168" s="133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GE168" s="133"/>
      <c r="GF168" s="133"/>
      <c r="GG168" s="133"/>
      <c r="GH168" s="133"/>
      <c r="GI168" s="133"/>
      <c r="GJ168" s="133"/>
      <c r="GK168" s="133"/>
      <c r="GL168" s="133"/>
      <c r="GM168" s="133"/>
      <c r="GN168" s="133"/>
      <c r="GO168" s="133"/>
      <c r="GP168" s="133"/>
      <c r="GQ168" s="133"/>
      <c r="GR168" s="133"/>
      <c r="GS168" s="133"/>
      <c r="GT168" s="133"/>
      <c r="GU168" s="133"/>
      <c r="GV168" s="133"/>
      <c r="GW168" s="133"/>
      <c r="GX168" s="133"/>
      <c r="GY168" s="133"/>
      <c r="GZ168" s="133"/>
      <c r="HA168" s="133"/>
      <c r="HB168" s="133"/>
      <c r="HC168" s="133"/>
      <c r="HD168" s="133"/>
      <c r="HE168" s="133"/>
      <c r="HF168" s="133"/>
      <c r="HG168" s="133"/>
      <c r="HH168" s="133"/>
      <c r="HI168" s="133"/>
      <c r="HJ168" s="133"/>
      <c r="HK168" s="133"/>
      <c r="HL168" s="133"/>
      <c r="HM168" s="133"/>
      <c r="HN168" s="133"/>
      <c r="HO168" s="133"/>
      <c r="HP168" s="133"/>
      <c r="HQ168" s="133"/>
      <c r="HR168" s="133"/>
      <c r="HS168" s="133"/>
      <c r="HT168" s="133"/>
      <c r="HU168" s="133"/>
      <c r="HV168" s="133"/>
      <c r="HW168" s="133"/>
      <c r="HX168" s="133"/>
      <c r="HY168" s="133"/>
      <c r="HZ168" s="133"/>
      <c r="IA168" s="133"/>
      <c r="IB168" s="133"/>
      <c r="IC168" s="133"/>
      <c r="ID168" s="133"/>
      <c r="IE168" s="133"/>
      <c r="IF168" s="133"/>
      <c r="IG168" s="133"/>
      <c r="IH168" s="133"/>
      <c r="II168" s="133"/>
      <c r="IJ168" s="133"/>
      <c r="IK168" s="133"/>
      <c r="IL168" s="133"/>
      <c r="IM168" s="133"/>
      <c r="IN168" s="133"/>
      <c r="IO168" s="133"/>
      <c r="IP168" s="133"/>
      <c r="IQ168" s="133"/>
      <c r="IR168" s="133"/>
      <c r="IS168" s="133"/>
      <c r="IT168" s="133"/>
      <c r="IU168" s="133"/>
      <c r="IV168" s="133"/>
    </row>
    <row r="169" spans="1:256" s="132" customFormat="1" ht="13.8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GE169" s="133"/>
      <c r="GF169" s="133"/>
      <c r="GG169" s="133"/>
      <c r="GH169" s="133"/>
      <c r="GI169" s="133"/>
      <c r="GJ169" s="133"/>
      <c r="GK169" s="133"/>
      <c r="GL169" s="133"/>
      <c r="GM169" s="133"/>
      <c r="GN169" s="133"/>
      <c r="GO169" s="133"/>
      <c r="GP169" s="133"/>
      <c r="GQ169" s="133"/>
      <c r="GR169" s="133"/>
      <c r="GS169" s="133"/>
      <c r="GT169" s="133"/>
      <c r="GU169" s="133"/>
      <c r="GV169" s="133"/>
      <c r="GW169" s="133"/>
      <c r="GX169" s="133"/>
      <c r="GY169" s="133"/>
      <c r="GZ169" s="133"/>
      <c r="HA169" s="133"/>
      <c r="HB169" s="133"/>
      <c r="HC169" s="133"/>
      <c r="HD169" s="133"/>
      <c r="HE169" s="133"/>
      <c r="HF169" s="133"/>
      <c r="HG169" s="133"/>
      <c r="HH169" s="133"/>
      <c r="HI169" s="133"/>
      <c r="HJ169" s="133"/>
      <c r="HK169" s="133"/>
      <c r="HL169" s="133"/>
      <c r="HM169" s="133"/>
      <c r="HN169" s="133"/>
      <c r="HO169" s="133"/>
      <c r="HP169" s="133"/>
      <c r="HQ169" s="133"/>
      <c r="HR169" s="133"/>
      <c r="HS169" s="133"/>
      <c r="HT169" s="133"/>
      <c r="HU169" s="133"/>
      <c r="HV169" s="133"/>
      <c r="HW169" s="133"/>
      <c r="HX169" s="133"/>
      <c r="HY169" s="133"/>
      <c r="HZ169" s="133"/>
      <c r="IA169" s="133"/>
      <c r="IB169" s="133"/>
      <c r="IC169" s="133"/>
      <c r="ID169" s="133"/>
      <c r="IE169" s="133"/>
      <c r="IF169" s="133"/>
      <c r="IG169" s="133"/>
      <c r="IH169" s="133"/>
      <c r="II169" s="133"/>
      <c r="IJ169" s="133"/>
      <c r="IK169" s="133"/>
      <c r="IL169" s="133"/>
      <c r="IM169" s="133"/>
      <c r="IN169" s="133"/>
      <c r="IO169" s="133"/>
      <c r="IP169" s="133"/>
      <c r="IQ169" s="133"/>
      <c r="IR169" s="133"/>
      <c r="IS169" s="133"/>
      <c r="IT169" s="133"/>
      <c r="IU169" s="133"/>
      <c r="IV169" s="133"/>
    </row>
    <row r="170" spans="1:256" s="132" customFormat="1" ht="13.8">
      <c r="A170" s="133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GE170" s="133"/>
      <c r="GF170" s="133"/>
      <c r="GG170" s="133"/>
      <c r="GH170" s="133"/>
      <c r="GI170" s="133"/>
      <c r="GJ170" s="133"/>
      <c r="GK170" s="133"/>
      <c r="GL170" s="133"/>
      <c r="GM170" s="133"/>
      <c r="GN170" s="133"/>
      <c r="GO170" s="133"/>
      <c r="GP170" s="133"/>
      <c r="GQ170" s="133"/>
      <c r="GR170" s="133"/>
      <c r="GS170" s="133"/>
      <c r="GT170" s="133"/>
      <c r="GU170" s="133"/>
      <c r="GV170" s="133"/>
      <c r="GW170" s="133"/>
      <c r="GX170" s="133"/>
      <c r="GY170" s="133"/>
      <c r="GZ170" s="133"/>
      <c r="HA170" s="133"/>
      <c r="HB170" s="133"/>
      <c r="HC170" s="133"/>
      <c r="HD170" s="133"/>
      <c r="HE170" s="133"/>
      <c r="HF170" s="133"/>
      <c r="HG170" s="133"/>
      <c r="HH170" s="133"/>
      <c r="HI170" s="133"/>
      <c r="HJ170" s="133"/>
      <c r="HK170" s="133"/>
      <c r="HL170" s="133"/>
      <c r="HM170" s="133"/>
      <c r="HN170" s="133"/>
      <c r="HO170" s="133"/>
      <c r="HP170" s="133"/>
      <c r="HQ170" s="133"/>
      <c r="HR170" s="133"/>
      <c r="HS170" s="133"/>
      <c r="HT170" s="133"/>
      <c r="HU170" s="133"/>
      <c r="HV170" s="133"/>
      <c r="HW170" s="133"/>
      <c r="HX170" s="133"/>
      <c r="HY170" s="133"/>
      <c r="HZ170" s="133"/>
      <c r="IA170" s="133"/>
      <c r="IB170" s="133"/>
      <c r="IC170" s="133"/>
      <c r="ID170" s="133"/>
      <c r="IE170" s="133"/>
      <c r="IF170" s="133"/>
      <c r="IG170" s="133"/>
      <c r="IH170" s="133"/>
      <c r="II170" s="133"/>
      <c r="IJ170" s="133"/>
      <c r="IK170" s="133"/>
      <c r="IL170" s="133"/>
      <c r="IM170" s="133"/>
      <c r="IN170" s="133"/>
      <c r="IO170" s="133"/>
      <c r="IP170" s="133"/>
      <c r="IQ170" s="133"/>
      <c r="IR170" s="133"/>
      <c r="IS170" s="133"/>
      <c r="IT170" s="133"/>
      <c r="IU170" s="133"/>
      <c r="IV170" s="133"/>
    </row>
    <row r="171" spans="1:256" s="132" customFormat="1" ht="13.8">
      <c r="A171" s="133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GE171" s="133"/>
      <c r="GF171" s="133"/>
      <c r="GG171" s="133"/>
      <c r="GH171" s="133"/>
      <c r="GI171" s="133"/>
      <c r="GJ171" s="133"/>
      <c r="GK171" s="133"/>
      <c r="GL171" s="133"/>
      <c r="GM171" s="133"/>
      <c r="GN171" s="133"/>
      <c r="GO171" s="133"/>
      <c r="GP171" s="133"/>
      <c r="GQ171" s="133"/>
      <c r="GR171" s="133"/>
      <c r="GS171" s="133"/>
      <c r="GT171" s="133"/>
      <c r="GU171" s="133"/>
      <c r="GV171" s="133"/>
      <c r="GW171" s="133"/>
      <c r="GX171" s="133"/>
      <c r="GY171" s="133"/>
      <c r="GZ171" s="133"/>
      <c r="HA171" s="133"/>
      <c r="HB171" s="133"/>
      <c r="HC171" s="133"/>
      <c r="HD171" s="133"/>
      <c r="HE171" s="133"/>
      <c r="HF171" s="133"/>
      <c r="HG171" s="133"/>
      <c r="HH171" s="133"/>
      <c r="HI171" s="133"/>
      <c r="HJ171" s="133"/>
      <c r="HK171" s="133"/>
      <c r="HL171" s="133"/>
      <c r="HM171" s="133"/>
      <c r="HN171" s="133"/>
      <c r="HO171" s="133"/>
      <c r="HP171" s="133"/>
      <c r="HQ171" s="133"/>
      <c r="HR171" s="133"/>
      <c r="HS171" s="133"/>
      <c r="HT171" s="133"/>
      <c r="HU171" s="133"/>
      <c r="HV171" s="133"/>
      <c r="HW171" s="133"/>
      <c r="HX171" s="133"/>
      <c r="HY171" s="133"/>
      <c r="HZ171" s="133"/>
      <c r="IA171" s="133"/>
      <c r="IB171" s="133"/>
      <c r="IC171" s="133"/>
      <c r="ID171" s="133"/>
      <c r="IE171" s="133"/>
      <c r="IF171" s="133"/>
      <c r="IG171" s="133"/>
      <c r="IH171" s="133"/>
      <c r="II171" s="133"/>
      <c r="IJ171" s="133"/>
      <c r="IK171" s="133"/>
      <c r="IL171" s="133"/>
      <c r="IM171" s="133"/>
      <c r="IN171" s="133"/>
      <c r="IO171" s="133"/>
      <c r="IP171" s="133"/>
      <c r="IQ171" s="133"/>
      <c r="IR171" s="133"/>
      <c r="IS171" s="133"/>
      <c r="IT171" s="133"/>
      <c r="IU171" s="133"/>
      <c r="IV171" s="133"/>
    </row>
    <row r="172" spans="1:256" s="132" customFormat="1" ht="13.8">
      <c r="A172" s="133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GE172" s="133"/>
      <c r="GF172" s="133"/>
      <c r="GG172" s="133"/>
      <c r="GH172" s="133"/>
      <c r="GI172" s="133"/>
      <c r="GJ172" s="133"/>
      <c r="GK172" s="133"/>
      <c r="GL172" s="133"/>
      <c r="GM172" s="133"/>
      <c r="GN172" s="133"/>
      <c r="GO172" s="133"/>
      <c r="GP172" s="133"/>
      <c r="GQ172" s="133"/>
      <c r="GR172" s="133"/>
      <c r="GS172" s="133"/>
      <c r="GT172" s="133"/>
      <c r="GU172" s="133"/>
      <c r="GV172" s="133"/>
      <c r="GW172" s="133"/>
      <c r="GX172" s="133"/>
      <c r="GY172" s="133"/>
      <c r="GZ172" s="133"/>
      <c r="HA172" s="133"/>
      <c r="HB172" s="133"/>
      <c r="HC172" s="133"/>
      <c r="HD172" s="133"/>
      <c r="HE172" s="133"/>
      <c r="HF172" s="133"/>
      <c r="HG172" s="133"/>
      <c r="HH172" s="133"/>
      <c r="HI172" s="133"/>
      <c r="HJ172" s="133"/>
      <c r="HK172" s="133"/>
      <c r="HL172" s="133"/>
      <c r="HM172" s="133"/>
      <c r="HN172" s="133"/>
      <c r="HO172" s="133"/>
      <c r="HP172" s="133"/>
      <c r="HQ172" s="133"/>
      <c r="HR172" s="133"/>
      <c r="HS172" s="133"/>
      <c r="HT172" s="133"/>
      <c r="HU172" s="133"/>
      <c r="HV172" s="133"/>
      <c r="HW172" s="133"/>
      <c r="HX172" s="133"/>
      <c r="HY172" s="133"/>
      <c r="HZ172" s="133"/>
      <c r="IA172" s="133"/>
      <c r="IB172" s="133"/>
      <c r="IC172" s="133"/>
      <c r="ID172" s="133"/>
      <c r="IE172" s="133"/>
      <c r="IF172" s="133"/>
      <c r="IG172" s="133"/>
      <c r="IH172" s="133"/>
      <c r="II172" s="133"/>
      <c r="IJ172" s="133"/>
      <c r="IK172" s="133"/>
      <c r="IL172" s="133"/>
      <c r="IM172" s="133"/>
      <c r="IN172" s="133"/>
      <c r="IO172" s="133"/>
      <c r="IP172" s="133"/>
      <c r="IQ172" s="133"/>
      <c r="IR172" s="133"/>
      <c r="IS172" s="133"/>
      <c r="IT172" s="133"/>
      <c r="IU172" s="133"/>
      <c r="IV172" s="133"/>
    </row>
    <row r="173" spans="1:256" s="132" customFormat="1" ht="13.8">
      <c r="A173" s="133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GE173" s="133"/>
      <c r="GF173" s="133"/>
      <c r="GG173" s="133"/>
      <c r="GH173" s="133"/>
      <c r="GI173" s="133"/>
      <c r="GJ173" s="133"/>
      <c r="GK173" s="133"/>
      <c r="GL173" s="133"/>
      <c r="GM173" s="133"/>
      <c r="GN173" s="133"/>
      <c r="GO173" s="133"/>
      <c r="GP173" s="133"/>
      <c r="GQ173" s="133"/>
      <c r="GR173" s="133"/>
      <c r="GS173" s="133"/>
      <c r="GT173" s="133"/>
      <c r="GU173" s="133"/>
      <c r="GV173" s="133"/>
      <c r="GW173" s="133"/>
      <c r="GX173" s="133"/>
      <c r="GY173" s="133"/>
      <c r="GZ173" s="133"/>
      <c r="HA173" s="133"/>
      <c r="HB173" s="133"/>
      <c r="HC173" s="133"/>
      <c r="HD173" s="133"/>
      <c r="HE173" s="133"/>
      <c r="HF173" s="133"/>
      <c r="HG173" s="133"/>
      <c r="HH173" s="133"/>
      <c r="HI173" s="133"/>
      <c r="HJ173" s="133"/>
      <c r="HK173" s="133"/>
      <c r="HL173" s="133"/>
      <c r="HM173" s="133"/>
      <c r="HN173" s="133"/>
      <c r="HO173" s="133"/>
      <c r="HP173" s="133"/>
      <c r="HQ173" s="133"/>
      <c r="HR173" s="133"/>
      <c r="HS173" s="133"/>
      <c r="HT173" s="133"/>
      <c r="HU173" s="133"/>
      <c r="HV173" s="133"/>
      <c r="HW173" s="133"/>
      <c r="HX173" s="133"/>
      <c r="HY173" s="133"/>
      <c r="HZ173" s="133"/>
      <c r="IA173" s="133"/>
      <c r="IB173" s="133"/>
      <c r="IC173" s="133"/>
      <c r="ID173" s="133"/>
      <c r="IE173" s="133"/>
      <c r="IF173" s="133"/>
      <c r="IG173" s="133"/>
      <c r="IH173" s="133"/>
      <c r="II173" s="133"/>
      <c r="IJ173" s="133"/>
      <c r="IK173" s="133"/>
      <c r="IL173" s="133"/>
      <c r="IM173" s="133"/>
      <c r="IN173" s="133"/>
      <c r="IO173" s="133"/>
      <c r="IP173" s="133"/>
      <c r="IQ173" s="133"/>
      <c r="IR173" s="133"/>
      <c r="IS173" s="133"/>
      <c r="IT173" s="133"/>
      <c r="IU173" s="133"/>
      <c r="IV173" s="133"/>
    </row>
    <row r="174" spans="1:256" s="132" customFormat="1" ht="13.8">
      <c r="A174" s="133"/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GE174" s="133"/>
      <c r="GF174" s="133"/>
      <c r="GG174" s="133"/>
      <c r="GH174" s="133"/>
      <c r="GI174" s="133"/>
      <c r="GJ174" s="133"/>
      <c r="GK174" s="133"/>
      <c r="GL174" s="133"/>
      <c r="GM174" s="133"/>
      <c r="GN174" s="133"/>
      <c r="GO174" s="133"/>
      <c r="GP174" s="133"/>
      <c r="GQ174" s="133"/>
      <c r="GR174" s="133"/>
      <c r="GS174" s="133"/>
      <c r="GT174" s="133"/>
      <c r="GU174" s="133"/>
      <c r="GV174" s="133"/>
      <c r="GW174" s="133"/>
      <c r="GX174" s="133"/>
      <c r="GY174" s="133"/>
      <c r="GZ174" s="133"/>
      <c r="HA174" s="133"/>
      <c r="HB174" s="133"/>
      <c r="HC174" s="133"/>
      <c r="HD174" s="133"/>
      <c r="HE174" s="133"/>
      <c r="HF174" s="133"/>
      <c r="HG174" s="133"/>
      <c r="HH174" s="133"/>
      <c r="HI174" s="133"/>
      <c r="HJ174" s="133"/>
      <c r="HK174" s="133"/>
      <c r="HL174" s="133"/>
      <c r="HM174" s="133"/>
      <c r="HN174" s="133"/>
      <c r="HO174" s="133"/>
      <c r="HP174" s="133"/>
      <c r="HQ174" s="133"/>
      <c r="HR174" s="133"/>
      <c r="HS174" s="133"/>
      <c r="HT174" s="133"/>
      <c r="HU174" s="133"/>
      <c r="HV174" s="133"/>
      <c r="HW174" s="133"/>
      <c r="HX174" s="133"/>
      <c r="HY174" s="133"/>
      <c r="HZ174" s="133"/>
      <c r="IA174" s="133"/>
      <c r="IB174" s="133"/>
      <c r="IC174" s="133"/>
      <c r="ID174" s="133"/>
      <c r="IE174" s="133"/>
      <c r="IF174" s="133"/>
      <c r="IG174" s="133"/>
      <c r="IH174" s="133"/>
      <c r="II174" s="133"/>
      <c r="IJ174" s="133"/>
      <c r="IK174" s="133"/>
      <c r="IL174" s="133"/>
      <c r="IM174" s="133"/>
      <c r="IN174" s="133"/>
      <c r="IO174" s="133"/>
      <c r="IP174" s="133"/>
      <c r="IQ174" s="133"/>
      <c r="IR174" s="133"/>
      <c r="IS174" s="133"/>
      <c r="IT174" s="133"/>
      <c r="IU174" s="133"/>
      <c r="IV174" s="133"/>
    </row>
    <row r="175" spans="1:256" s="132" customFormat="1" ht="13.8">
      <c r="A175" s="133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GE175" s="133"/>
      <c r="GF175" s="133"/>
      <c r="GG175" s="133"/>
      <c r="GH175" s="133"/>
      <c r="GI175" s="133"/>
      <c r="GJ175" s="133"/>
      <c r="GK175" s="133"/>
      <c r="GL175" s="133"/>
      <c r="GM175" s="133"/>
      <c r="GN175" s="133"/>
      <c r="GO175" s="133"/>
      <c r="GP175" s="133"/>
      <c r="GQ175" s="133"/>
      <c r="GR175" s="133"/>
      <c r="GS175" s="133"/>
      <c r="GT175" s="133"/>
      <c r="GU175" s="133"/>
      <c r="GV175" s="133"/>
      <c r="GW175" s="133"/>
      <c r="GX175" s="133"/>
      <c r="GY175" s="133"/>
      <c r="GZ175" s="133"/>
      <c r="HA175" s="133"/>
      <c r="HB175" s="133"/>
      <c r="HC175" s="133"/>
      <c r="HD175" s="133"/>
      <c r="HE175" s="133"/>
      <c r="HF175" s="133"/>
      <c r="HG175" s="133"/>
      <c r="HH175" s="133"/>
      <c r="HI175" s="133"/>
      <c r="HJ175" s="133"/>
      <c r="HK175" s="133"/>
      <c r="HL175" s="133"/>
      <c r="HM175" s="133"/>
      <c r="HN175" s="133"/>
      <c r="HO175" s="133"/>
      <c r="HP175" s="133"/>
      <c r="HQ175" s="133"/>
      <c r="HR175" s="133"/>
      <c r="HS175" s="133"/>
      <c r="HT175" s="133"/>
      <c r="HU175" s="133"/>
      <c r="HV175" s="133"/>
      <c r="HW175" s="133"/>
      <c r="HX175" s="133"/>
      <c r="HY175" s="133"/>
      <c r="HZ175" s="133"/>
      <c r="IA175" s="133"/>
      <c r="IB175" s="133"/>
      <c r="IC175" s="133"/>
      <c r="ID175" s="133"/>
      <c r="IE175" s="133"/>
      <c r="IF175" s="133"/>
      <c r="IG175" s="133"/>
      <c r="IH175" s="133"/>
      <c r="II175" s="133"/>
      <c r="IJ175" s="133"/>
      <c r="IK175" s="133"/>
      <c r="IL175" s="133"/>
      <c r="IM175" s="133"/>
      <c r="IN175" s="133"/>
      <c r="IO175" s="133"/>
      <c r="IP175" s="133"/>
      <c r="IQ175" s="133"/>
      <c r="IR175" s="133"/>
      <c r="IS175" s="133"/>
      <c r="IT175" s="133"/>
      <c r="IU175" s="133"/>
      <c r="IV175" s="133"/>
    </row>
    <row r="176" spans="1:256" s="132" customFormat="1" ht="13.8">
      <c r="A176" s="133"/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GE176" s="133"/>
      <c r="GF176" s="133"/>
      <c r="GG176" s="133"/>
      <c r="GH176" s="133"/>
      <c r="GI176" s="133"/>
      <c r="GJ176" s="133"/>
      <c r="GK176" s="133"/>
      <c r="GL176" s="133"/>
      <c r="GM176" s="133"/>
      <c r="GN176" s="133"/>
      <c r="GO176" s="133"/>
      <c r="GP176" s="133"/>
      <c r="GQ176" s="133"/>
      <c r="GR176" s="133"/>
      <c r="GS176" s="133"/>
      <c r="GT176" s="133"/>
      <c r="GU176" s="133"/>
      <c r="GV176" s="133"/>
      <c r="GW176" s="133"/>
      <c r="GX176" s="133"/>
      <c r="GY176" s="133"/>
      <c r="GZ176" s="133"/>
      <c r="HA176" s="133"/>
      <c r="HB176" s="133"/>
      <c r="HC176" s="133"/>
      <c r="HD176" s="133"/>
      <c r="HE176" s="133"/>
      <c r="HF176" s="133"/>
      <c r="HG176" s="133"/>
      <c r="HH176" s="133"/>
      <c r="HI176" s="133"/>
      <c r="HJ176" s="133"/>
      <c r="HK176" s="133"/>
      <c r="HL176" s="133"/>
      <c r="HM176" s="133"/>
      <c r="HN176" s="133"/>
      <c r="HO176" s="133"/>
      <c r="HP176" s="133"/>
      <c r="HQ176" s="133"/>
      <c r="HR176" s="133"/>
      <c r="HS176" s="133"/>
      <c r="HT176" s="133"/>
      <c r="HU176" s="133"/>
      <c r="HV176" s="133"/>
      <c r="HW176" s="133"/>
      <c r="HX176" s="133"/>
      <c r="HY176" s="133"/>
      <c r="HZ176" s="133"/>
      <c r="IA176" s="133"/>
      <c r="IB176" s="133"/>
      <c r="IC176" s="133"/>
      <c r="ID176" s="133"/>
      <c r="IE176" s="133"/>
      <c r="IF176" s="133"/>
      <c r="IG176" s="133"/>
      <c r="IH176" s="133"/>
      <c r="II176" s="133"/>
      <c r="IJ176" s="133"/>
      <c r="IK176" s="133"/>
      <c r="IL176" s="133"/>
      <c r="IM176" s="133"/>
      <c r="IN176" s="133"/>
      <c r="IO176" s="133"/>
      <c r="IP176" s="133"/>
      <c r="IQ176" s="133"/>
      <c r="IR176" s="133"/>
      <c r="IS176" s="133"/>
      <c r="IT176" s="133"/>
      <c r="IU176" s="133"/>
      <c r="IV176" s="133"/>
    </row>
    <row r="177" spans="1:256" s="132" customFormat="1" ht="13.8">
      <c r="A177" s="133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GE177" s="133"/>
      <c r="GF177" s="133"/>
      <c r="GG177" s="133"/>
      <c r="GH177" s="133"/>
      <c r="GI177" s="133"/>
      <c r="GJ177" s="133"/>
      <c r="GK177" s="133"/>
      <c r="GL177" s="133"/>
      <c r="GM177" s="133"/>
      <c r="GN177" s="133"/>
      <c r="GO177" s="133"/>
      <c r="GP177" s="133"/>
      <c r="GQ177" s="133"/>
      <c r="GR177" s="133"/>
      <c r="GS177" s="133"/>
      <c r="GT177" s="133"/>
      <c r="GU177" s="133"/>
      <c r="GV177" s="133"/>
      <c r="GW177" s="133"/>
      <c r="GX177" s="133"/>
      <c r="GY177" s="133"/>
      <c r="GZ177" s="133"/>
      <c r="HA177" s="133"/>
      <c r="HB177" s="133"/>
      <c r="HC177" s="133"/>
      <c r="HD177" s="133"/>
      <c r="HE177" s="133"/>
      <c r="HF177" s="133"/>
      <c r="HG177" s="133"/>
      <c r="HH177" s="133"/>
      <c r="HI177" s="133"/>
      <c r="HJ177" s="133"/>
      <c r="HK177" s="133"/>
      <c r="HL177" s="133"/>
      <c r="HM177" s="133"/>
      <c r="HN177" s="133"/>
      <c r="HO177" s="133"/>
      <c r="HP177" s="133"/>
      <c r="HQ177" s="133"/>
      <c r="HR177" s="133"/>
      <c r="HS177" s="133"/>
      <c r="HT177" s="133"/>
      <c r="HU177" s="133"/>
      <c r="HV177" s="133"/>
      <c r="HW177" s="133"/>
      <c r="HX177" s="133"/>
      <c r="HY177" s="133"/>
      <c r="HZ177" s="133"/>
      <c r="IA177" s="133"/>
      <c r="IB177" s="133"/>
      <c r="IC177" s="133"/>
      <c r="ID177" s="133"/>
      <c r="IE177" s="133"/>
      <c r="IF177" s="133"/>
      <c r="IG177" s="133"/>
      <c r="IH177" s="133"/>
      <c r="II177" s="133"/>
      <c r="IJ177" s="133"/>
      <c r="IK177" s="133"/>
      <c r="IL177" s="133"/>
      <c r="IM177" s="133"/>
      <c r="IN177" s="133"/>
      <c r="IO177" s="133"/>
      <c r="IP177" s="133"/>
      <c r="IQ177" s="133"/>
      <c r="IR177" s="133"/>
      <c r="IS177" s="133"/>
      <c r="IT177" s="133"/>
      <c r="IU177" s="133"/>
      <c r="IV177" s="133"/>
    </row>
    <row r="178" spans="1:256" s="132" customFormat="1" ht="13.8">
      <c r="A178" s="133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GE178" s="133"/>
      <c r="GF178" s="133"/>
      <c r="GG178" s="133"/>
      <c r="GH178" s="133"/>
      <c r="GI178" s="133"/>
      <c r="GJ178" s="133"/>
      <c r="GK178" s="133"/>
      <c r="GL178" s="133"/>
      <c r="GM178" s="133"/>
      <c r="GN178" s="133"/>
      <c r="GO178" s="133"/>
      <c r="GP178" s="133"/>
      <c r="GQ178" s="133"/>
      <c r="GR178" s="133"/>
      <c r="GS178" s="133"/>
      <c r="GT178" s="133"/>
      <c r="GU178" s="133"/>
      <c r="GV178" s="133"/>
      <c r="GW178" s="133"/>
      <c r="GX178" s="133"/>
      <c r="GY178" s="133"/>
      <c r="GZ178" s="133"/>
      <c r="HA178" s="133"/>
      <c r="HB178" s="133"/>
      <c r="HC178" s="133"/>
      <c r="HD178" s="133"/>
      <c r="HE178" s="133"/>
      <c r="HF178" s="133"/>
      <c r="HG178" s="133"/>
      <c r="HH178" s="133"/>
      <c r="HI178" s="133"/>
      <c r="HJ178" s="133"/>
      <c r="HK178" s="133"/>
      <c r="HL178" s="133"/>
      <c r="HM178" s="133"/>
      <c r="HN178" s="133"/>
      <c r="HO178" s="133"/>
      <c r="HP178" s="133"/>
      <c r="HQ178" s="133"/>
      <c r="HR178" s="133"/>
      <c r="HS178" s="133"/>
      <c r="HT178" s="133"/>
      <c r="HU178" s="133"/>
      <c r="HV178" s="133"/>
      <c r="HW178" s="133"/>
      <c r="HX178" s="133"/>
      <c r="HY178" s="133"/>
      <c r="HZ178" s="133"/>
      <c r="IA178" s="133"/>
      <c r="IB178" s="133"/>
      <c r="IC178" s="133"/>
      <c r="ID178" s="133"/>
      <c r="IE178" s="133"/>
      <c r="IF178" s="133"/>
      <c r="IG178" s="133"/>
      <c r="IH178" s="133"/>
      <c r="II178" s="133"/>
      <c r="IJ178" s="133"/>
      <c r="IK178" s="133"/>
      <c r="IL178" s="133"/>
      <c r="IM178" s="133"/>
      <c r="IN178" s="133"/>
      <c r="IO178" s="133"/>
      <c r="IP178" s="133"/>
      <c r="IQ178" s="133"/>
      <c r="IR178" s="133"/>
      <c r="IS178" s="133"/>
      <c r="IT178" s="133"/>
      <c r="IU178" s="133"/>
      <c r="IV178" s="133"/>
    </row>
    <row r="179" spans="1:256" s="132" customFormat="1" ht="13.8">
      <c r="A179" s="133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GE179" s="133"/>
      <c r="GF179" s="133"/>
      <c r="GG179" s="133"/>
      <c r="GH179" s="133"/>
      <c r="GI179" s="133"/>
      <c r="GJ179" s="133"/>
      <c r="GK179" s="133"/>
      <c r="GL179" s="133"/>
      <c r="GM179" s="133"/>
      <c r="GN179" s="133"/>
      <c r="GO179" s="133"/>
      <c r="GP179" s="133"/>
      <c r="GQ179" s="133"/>
      <c r="GR179" s="133"/>
      <c r="GS179" s="133"/>
      <c r="GT179" s="133"/>
      <c r="GU179" s="133"/>
      <c r="GV179" s="133"/>
      <c r="GW179" s="133"/>
      <c r="GX179" s="133"/>
      <c r="GY179" s="133"/>
      <c r="GZ179" s="133"/>
      <c r="HA179" s="133"/>
      <c r="HB179" s="133"/>
      <c r="HC179" s="133"/>
      <c r="HD179" s="133"/>
      <c r="HE179" s="133"/>
      <c r="HF179" s="133"/>
      <c r="HG179" s="133"/>
      <c r="HH179" s="133"/>
      <c r="HI179" s="133"/>
      <c r="HJ179" s="133"/>
      <c r="HK179" s="133"/>
      <c r="HL179" s="133"/>
      <c r="HM179" s="133"/>
      <c r="HN179" s="133"/>
      <c r="HO179" s="133"/>
      <c r="HP179" s="133"/>
      <c r="HQ179" s="133"/>
      <c r="HR179" s="133"/>
      <c r="HS179" s="133"/>
      <c r="HT179" s="133"/>
      <c r="HU179" s="133"/>
      <c r="HV179" s="133"/>
      <c r="HW179" s="133"/>
      <c r="HX179" s="133"/>
      <c r="HY179" s="133"/>
      <c r="HZ179" s="133"/>
      <c r="IA179" s="133"/>
      <c r="IB179" s="133"/>
      <c r="IC179" s="133"/>
      <c r="ID179" s="133"/>
      <c r="IE179" s="133"/>
      <c r="IF179" s="133"/>
      <c r="IG179" s="133"/>
      <c r="IH179" s="133"/>
      <c r="II179" s="133"/>
      <c r="IJ179" s="133"/>
      <c r="IK179" s="133"/>
      <c r="IL179" s="133"/>
      <c r="IM179" s="133"/>
      <c r="IN179" s="133"/>
      <c r="IO179" s="133"/>
      <c r="IP179" s="133"/>
      <c r="IQ179" s="133"/>
      <c r="IR179" s="133"/>
      <c r="IS179" s="133"/>
      <c r="IT179" s="133"/>
      <c r="IU179" s="133"/>
      <c r="IV179" s="133"/>
    </row>
    <row r="180" spans="1:256" s="132" customFormat="1" ht="13.8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GE180" s="133"/>
      <c r="GF180" s="133"/>
      <c r="GG180" s="133"/>
      <c r="GH180" s="133"/>
      <c r="GI180" s="133"/>
      <c r="GJ180" s="133"/>
      <c r="GK180" s="133"/>
      <c r="GL180" s="133"/>
      <c r="GM180" s="133"/>
      <c r="GN180" s="133"/>
      <c r="GO180" s="133"/>
      <c r="GP180" s="133"/>
      <c r="GQ180" s="133"/>
      <c r="GR180" s="133"/>
      <c r="GS180" s="133"/>
      <c r="GT180" s="133"/>
      <c r="GU180" s="133"/>
      <c r="GV180" s="133"/>
      <c r="GW180" s="133"/>
      <c r="GX180" s="133"/>
      <c r="GY180" s="133"/>
      <c r="GZ180" s="133"/>
      <c r="HA180" s="133"/>
      <c r="HB180" s="133"/>
      <c r="HC180" s="133"/>
      <c r="HD180" s="133"/>
      <c r="HE180" s="133"/>
      <c r="HF180" s="133"/>
      <c r="HG180" s="133"/>
      <c r="HH180" s="133"/>
      <c r="HI180" s="133"/>
      <c r="HJ180" s="133"/>
      <c r="HK180" s="133"/>
      <c r="HL180" s="133"/>
      <c r="HM180" s="133"/>
      <c r="HN180" s="133"/>
      <c r="HO180" s="133"/>
      <c r="HP180" s="133"/>
      <c r="HQ180" s="133"/>
      <c r="HR180" s="133"/>
      <c r="HS180" s="133"/>
      <c r="HT180" s="133"/>
      <c r="HU180" s="133"/>
      <c r="HV180" s="133"/>
      <c r="HW180" s="133"/>
      <c r="HX180" s="133"/>
      <c r="HY180" s="133"/>
      <c r="HZ180" s="133"/>
      <c r="IA180" s="133"/>
      <c r="IB180" s="133"/>
      <c r="IC180" s="133"/>
      <c r="ID180" s="133"/>
      <c r="IE180" s="133"/>
      <c r="IF180" s="133"/>
      <c r="IG180" s="133"/>
      <c r="IH180" s="133"/>
      <c r="II180" s="133"/>
      <c r="IJ180" s="133"/>
      <c r="IK180" s="133"/>
      <c r="IL180" s="133"/>
      <c r="IM180" s="133"/>
      <c r="IN180" s="133"/>
      <c r="IO180" s="133"/>
      <c r="IP180" s="133"/>
      <c r="IQ180" s="133"/>
      <c r="IR180" s="133"/>
      <c r="IS180" s="133"/>
      <c r="IT180" s="133"/>
      <c r="IU180" s="133"/>
      <c r="IV180" s="133"/>
    </row>
    <row r="181" spans="1:256" s="132" customFormat="1" ht="13.8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GE181" s="133"/>
      <c r="GF181" s="133"/>
      <c r="GG181" s="133"/>
      <c r="GH181" s="133"/>
      <c r="GI181" s="133"/>
      <c r="GJ181" s="133"/>
      <c r="GK181" s="133"/>
      <c r="GL181" s="133"/>
      <c r="GM181" s="133"/>
      <c r="GN181" s="133"/>
      <c r="GO181" s="133"/>
      <c r="GP181" s="133"/>
      <c r="GQ181" s="133"/>
      <c r="GR181" s="133"/>
      <c r="GS181" s="133"/>
      <c r="GT181" s="133"/>
      <c r="GU181" s="133"/>
      <c r="GV181" s="133"/>
      <c r="GW181" s="133"/>
      <c r="GX181" s="133"/>
      <c r="GY181" s="133"/>
      <c r="GZ181" s="133"/>
      <c r="HA181" s="133"/>
      <c r="HB181" s="133"/>
      <c r="HC181" s="133"/>
      <c r="HD181" s="133"/>
      <c r="HE181" s="133"/>
      <c r="HF181" s="133"/>
      <c r="HG181" s="133"/>
      <c r="HH181" s="133"/>
      <c r="HI181" s="133"/>
      <c r="HJ181" s="133"/>
      <c r="HK181" s="133"/>
      <c r="HL181" s="133"/>
      <c r="HM181" s="133"/>
      <c r="HN181" s="133"/>
      <c r="HO181" s="133"/>
      <c r="HP181" s="133"/>
      <c r="HQ181" s="133"/>
      <c r="HR181" s="133"/>
      <c r="HS181" s="133"/>
      <c r="HT181" s="133"/>
      <c r="HU181" s="133"/>
      <c r="HV181" s="133"/>
      <c r="HW181" s="133"/>
      <c r="HX181" s="133"/>
      <c r="HY181" s="133"/>
      <c r="HZ181" s="133"/>
      <c r="IA181" s="133"/>
      <c r="IB181" s="133"/>
      <c r="IC181" s="133"/>
      <c r="ID181" s="133"/>
      <c r="IE181" s="133"/>
      <c r="IF181" s="133"/>
      <c r="IG181" s="133"/>
      <c r="IH181" s="133"/>
      <c r="II181" s="133"/>
      <c r="IJ181" s="133"/>
      <c r="IK181" s="133"/>
      <c r="IL181" s="133"/>
      <c r="IM181" s="133"/>
      <c r="IN181" s="133"/>
      <c r="IO181" s="133"/>
      <c r="IP181" s="133"/>
      <c r="IQ181" s="133"/>
      <c r="IR181" s="133"/>
      <c r="IS181" s="133"/>
      <c r="IT181" s="133"/>
      <c r="IU181" s="133"/>
      <c r="IV181" s="133"/>
    </row>
    <row r="182" spans="1:256" s="132" customFormat="1" ht="13.8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GE182" s="133"/>
      <c r="GF182" s="133"/>
      <c r="GG182" s="133"/>
      <c r="GH182" s="133"/>
      <c r="GI182" s="133"/>
      <c r="GJ182" s="133"/>
      <c r="GK182" s="133"/>
      <c r="GL182" s="133"/>
      <c r="GM182" s="133"/>
      <c r="GN182" s="133"/>
      <c r="GO182" s="133"/>
      <c r="GP182" s="133"/>
      <c r="GQ182" s="133"/>
      <c r="GR182" s="133"/>
      <c r="GS182" s="133"/>
      <c r="GT182" s="133"/>
      <c r="GU182" s="133"/>
      <c r="GV182" s="133"/>
      <c r="GW182" s="133"/>
      <c r="GX182" s="133"/>
      <c r="GY182" s="133"/>
      <c r="GZ182" s="133"/>
      <c r="HA182" s="133"/>
      <c r="HB182" s="133"/>
      <c r="HC182" s="133"/>
      <c r="HD182" s="133"/>
      <c r="HE182" s="133"/>
      <c r="HF182" s="133"/>
      <c r="HG182" s="133"/>
      <c r="HH182" s="133"/>
      <c r="HI182" s="133"/>
      <c r="HJ182" s="133"/>
      <c r="HK182" s="133"/>
      <c r="HL182" s="133"/>
      <c r="HM182" s="133"/>
      <c r="HN182" s="133"/>
      <c r="HO182" s="133"/>
      <c r="HP182" s="133"/>
      <c r="HQ182" s="133"/>
      <c r="HR182" s="133"/>
      <c r="HS182" s="133"/>
      <c r="HT182" s="133"/>
      <c r="HU182" s="133"/>
      <c r="HV182" s="133"/>
      <c r="HW182" s="133"/>
      <c r="HX182" s="133"/>
      <c r="HY182" s="133"/>
      <c r="HZ182" s="133"/>
      <c r="IA182" s="133"/>
      <c r="IB182" s="133"/>
      <c r="IC182" s="133"/>
      <c r="ID182" s="133"/>
      <c r="IE182" s="133"/>
      <c r="IF182" s="133"/>
      <c r="IG182" s="133"/>
      <c r="IH182" s="133"/>
      <c r="II182" s="133"/>
      <c r="IJ182" s="133"/>
      <c r="IK182" s="133"/>
      <c r="IL182" s="133"/>
      <c r="IM182" s="133"/>
      <c r="IN182" s="133"/>
      <c r="IO182" s="133"/>
      <c r="IP182" s="133"/>
      <c r="IQ182" s="133"/>
      <c r="IR182" s="133"/>
      <c r="IS182" s="133"/>
      <c r="IT182" s="133"/>
      <c r="IU182" s="133"/>
      <c r="IV182" s="133"/>
    </row>
    <row r="183" spans="1:256" s="132" customFormat="1" ht="13.8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GE183" s="133"/>
      <c r="GF183" s="133"/>
      <c r="GG183" s="133"/>
      <c r="GH183" s="133"/>
      <c r="GI183" s="133"/>
      <c r="GJ183" s="133"/>
      <c r="GK183" s="133"/>
      <c r="GL183" s="133"/>
      <c r="GM183" s="133"/>
      <c r="GN183" s="133"/>
      <c r="GO183" s="133"/>
      <c r="GP183" s="133"/>
      <c r="GQ183" s="133"/>
      <c r="GR183" s="133"/>
      <c r="GS183" s="133"/>
      <c r="GT183" s="133"/>
      <c r="GU183" s="133"/>
      <c r="GV183" s="133"/>
      <c r="GW183" s="133"/>
      <c r="GX183" s="133"/>
      <c r="GY183" s="133"/>
      <c r="GZ183" s="133"/>
      <c r="HA183" s="133"/>
      <c r="HB183" s="133"/>
      <c r="HC183" s="133"/>
      <c r="HD183" s="133"/>
      <c r="HE183" s="133"/>
      <c r="HF183" s="133"/>
      <c r="HG183" s="133"/>
      <c r="HH183" s="133"/>
      <c r="HI183" s="133"/>
      <c r="HJ183" s="133"/>
      <c r="HK183" s="133"/>
      <c r="HL183" s="133"/>
      <c r="HM183" s="133"/>
      <c r="HN183" s="133"/>
      <c r="HO183" s="133"/>
      <c r="HP183" s="133"/>
      <c r="HQ183" s="133"/>
      <c r="HR183" s="133"/>
      <c r="HS183" s="133"/>
      <c r="HT183" s="133"/>
      <c r="HU183" s="133"/>
      <c r="HV183" s="133"/>
      <c r="HW183" s="133"/>
      <c r="HX183" s="133"/>
      <c r="HY183" s="133"/>
      <c r="HZ183" s="133"/>
      <c r="IA183" s="133"/>
      <c r="IB183" s="133"/>
      <c r="IC183" s="133"/>
      <c r="ID183" s="133"/>
      <c r="IE183" s="133"/>
      <c r="IF183" s="133"/>
      <c r="IG183" s="133"/>
      <c r="IH183" s="133"/>
      <c r="II183" s="133"/>
      <c r="IJ183" s="133"/>
      <c r="IK183" s="133"/>
      <c r="IL183" s="133"/>
      <c r="IM183" s="133"/>
      <c r="IN183" s="133"/>
      <c r="IO183" s="133"/>
      <c r="IP183" s="133"/>
      <c r="IQ183" s="133"/>
      <c r="IR183" s="133"/>
      <c r="IS183" s="133"/>
      <c r="IT183" s="133"/>
      <c r="IU183" s="133"/>
      <c r="IV183" s="133"/>
    </row>
    <row r="184" spans="1:256" s="132" customFormat="1" ht="13.8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GE184" s="133"/>
      <c r="GF184" s="133"/>
      <c r="GG184" s="133"/>
      <c r="GH184" s="133"/>
      <c r="GI184" s="133"/>
      <c r="GJ184" s="133"/>
      <c r="GK184" s="133"/>
      <c r="GL184" s="133"/>
      <c r="GM184" s="133"/>
      <c r="GN184" s="133"/>
      <c r="GO184" s="133"/>
      <c r="GP184" s="133"/>
      <c r="GQ184" s="133"/>
      <c r="GR184" s="133"/>
      <c r="GS184" s="133"/>
      <c r="GT184" s="133"/>
      <c r="GU184" s="133"/>
      <c r="GV184" s="133"/>
      <c r="GW184" s="133"/>
      <c r="GX184" s="133"/>
      <c r="GY184" s="133"/>
      <c r="GZ184" s="133"/>
      <c r="HA184" s="133"/>
      <c r="HB184" s="133"/>
      <c r="HC184" s="133"/>
      <c r="HD184" s="133"/>
      <c r="HE184" s="133"/>
      <c r="HF184" s="133"/>
      <c r="HG184" s="133"/>
      <c r="HH184" s="133"/>
      <c r="HI184" s="133"/>
      <c r="HJ184" s="133"/>
      <c r="HK184" s="133"/>
      <c r="HL184" s="133"/>
      <c r="HM184" s="133"/>
      <c r="HN184" s="133"/>
      <c r="HO184" s="133"/>
      <c r="HP184" s="133"/>
      <c r="HQ184" s="133"/>
      <c r="HR184" s="133"/>
      <c r="HS184" s="133"/>
      <c r="HT184" s="133"/>
      <c r="HU184" s="133"/>
      <c r="HV184" s="133"/>
      <c r="HW184" s="133"/>
      <c r="HX184" s="133"/>
      <c r="HY184" s="133"/>
      <c r="HZ184" s="133"/>
      <c r="IA184" s="133"/>
      <c r="IB184" s="133"/>
      <c r="IC184" s="133"/>
      <c r="ID184" s="133"/>
      <c r="IE184" s="133"/>
      <c r="IF184" s="133"/>
      <c r="IG184" s="133"/>
      <c r="IH184" s="133"/>
      <c r="II184" s="133"/>
      <c r="IJ184" s="133"/>
      <c r="IK184" s="133"/>
      <c r="IL184" s="133"/>
      <c r="IM184" s="133"/>
      <c r="IN184" s="133"/>
      <c r="IO184" s="133"/>
      <c r="IP184" s="133"/>
      <c r="IQ184" s="133"/>
      <c r="IR184" s="133"/>
      <c r="IS184" s="133"/>
      <c r="IT184" s="133"/>
      <c r="IU184" s="133"/>
      <c r="IV184" s="133"/>
    </row>
    <row r="185" spans="1:256" s="132" customFormat="1" ht="13.8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GE185" s="133"/>
      <c r="GF185" s="133"/>
      <c r="GG185" s="133"/>
      <c r="GH185" s="133"/>
      <c r="GI185" s="133"/>
      <c r="GJ185" s="133"/>
      <c r="GK185" s="133"/>
      <c r="GL185" s="133"/>
      <c r="GM185" s="133"/>
      <c r="GN185" s="133"/>
      <c r="GO185" s="133"/>
      <c r="GP185" s="133"/>
      <c r="GQ185" s="133"/>
      <c r="GR185" s="133"/>
      <c r="GS185" s="133"/>
      <c r="GT185" s="133"/>
      <c r="GU185" s="133"/>
      <c r="GV185" s="133"/>
      <c r="GW185" s="133"/>
      <c r="GX185" s="133"/>
      <c r="GY185" s="133"/>
      <c r="GZ185" s="133"/>
      <c r="HA185" s="133"/>
      <c r="HB185" s="133"/>
      <c r="HC185" s="133"/>
      <c r="HD185" s="133"/>
      <c r="HE185" s="133"/>
      <c r="HF185" s="133"/>
      <c r="HG185" s="133"/>
      <c r="HH185" s="133"/>
      <c r="HI185" s="133"/>
      <c r="HJ185" s="133"/>
      <c r="HK185" s="133"/>
      <c r="HL185" s="133"/>
      <c r="HM185" s="133"/>
      <c r="HN185" s="133"/>
      <c r="HO185" s="133"/>
      <c r="HP185" s="133"/>
      <c r="HQ185" s="133"/>
      <c r="HR185" s="133"/>
      <c r="HS185" s="133"/>
      <c r="HT185" s="133"/>
      <c r="HU185" s="133"/>
      <c r="HV185" s="133"/>
      <c r="HW185" s="133"/>
      <c r="HX185" s="133"/>
      <c r="HY185" s="133"/>
      <c r="HZ185" s="133"/>
      <c r="IA185" s="133"/>
      <c r="IB185" s="133"/>
      <c r="IC185" s="133"/>
      <c r="ID185" s="133"/>
      <c r="IE185" s="133"/>
      <c r="IF185" s="133"/>
      <c r="IG185" s="133"/>
      <c r="IH185" s="133"/>
      <c r="II185" s="133"/>
      <c r="IJ185" s="133"/>
      <c r="IK185" s="133"/>
      <c r="IL185" s="133"/>
      <c r="IM185" s="133"/>
      <c r="IN185" s="133"/>
      <c r="IO185" s="133"/>
      <c r="IP185" s="133"/>
      <c r="IQ185" s="133"/>
      <c r="IR185" s="133"/>
      <c r="IS185" s="133"/>
      <c r="IT185" s="133"/>
      <c r="IU185" s="133"/>
      <c r="IV185" s="133"/>
    </row>
    <row r="186" spans="1:256" s="132" customFormat="1" ht="13.8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GE186" s="133"/>
      <c r="GF186" s="133"/>
      <c r="GG186" s="133"/>
      <c r="GH186" s="133"/>
      <c r="GI186" s="133"/>
      <c r="GJ186" s="133"/>
      <c r="GK186" s="133"/>
      <c r="GL186" s="133"/>
      <c r="GM186" s="133"/>
      <c r="GN186" s="133"/>
      <c r="GO186" s="133"/>
      <c r="GP186" s="133"/>
      <c r="GQ186" s="133"/>
      <c r="GR186" s="133"/>
      <c r="GS186" s="133"/>
      <c r="GT186" s="133"/>
      <c r="GU186" s="133"/>
      <c r="GV186" s="133"/>
      <c r="GW186" s="133"/>
      <c r="GX186" s="133"/>
      <c r="GY186" s="133"/>
      <c r="GZ186" s="133"/>
      <c r="HA186" s="133"/>
      <c r="HB186" s="133"/>
      <c r="HC186" s="133"/>
      <c r="HD186" s="133"/>
      <c r="HE186" s="133"/>
      <c r="HF186" s="133"/>
      <c r="HG186" s="133"/>
      <c r="HH186" s="133"/>
      <c r="HI186" s="133"/>
      <c r="HJ186" s="133"/>
      <c r="HK186" s="133"/>
      <c r="HL186" s="133"/>
      <c r="HM186" s="133"/>
      <c r="HN186" s="133"/>
      <c r="HO186" s="133"/>
      <c r="HP186" s="133"/>
      <c r="HQ186" s="133"/>
      <c r="HR186" s="133"/>
      <c r="HS186" s="133"/>
      <c r="HT186" s="133"/>
      <c r="HU186" s="133"/>
      <c r="HV186" s="133"/>
      <c r="HW186" s="133"/>
      <c r="HX186" s="133"/>
      <c r="HY186" s="133"/>
      <c r="HZ186" s="133"/>
      <c r="IA186" s="133"/>
      <c r="IB186" s="133"/>
      <c r="IC186" s="133"/>
      <c r="ID186" s="133"/>
      <c r="IE186" s="133"/>
      <c r="IF186" s="133"/>
      <c r="IG186" s="133"/>
      <c r="IH186" s="133"/>
      <c r="II186" s="133"/>
      <c r="IJ186" s="133"/>
      <c r="IK186" s="133"/>
      <c r="IL186" s="133"/>
      <c r="IM186" s="133"/>
      <c r="IN186" s="133"/>
      <c r="IO186" s="133"/>
      <c r="IP186" s="133"/>
      <c r="IQ186" s="133"/>
      <c r="IR186" s="133"/>
      <c r="IS186" s="133"/>
      <c r="IT186" s="133"/>
      <c r="IU186" s="133"/>
      <c r="IV186" s="133"/>
    </row>
    <row r="187" spans="1:256" s="132" customFormat="1" ht="13.8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GE187" s="133"/>
      <c r="GF187" s="133"/>
      <c r="GG187" s="133"/>
      <c r="GH187" s="133"/>
      <c r="GI187" s="133"/>
      <c r="GJ187" s="133"/>
      <c r="GK187" s="133"/>
      <c r="GL187" s="133"/>
      <c r="GM187" s="133"/>
      <c r="GN187" s="133"/>
      <c r="GO187" s="133"/>
      <c r="GP187" s="133"/>
      <c r="GQ187" s="133"/>
      <c r="GR187" s="133"/>
      <c r="GS187" s="133"/>
      <c r="GT187" s="133"/>
      <c r="GU187" s="133"/>
      <c r="GV187" s="133"/>
      <c r="GW187" s="133"/>
      <c r="GX187" s="133"/>
      <c r="GY187" s="133"/>
      <c r="GZ187" s="133"/>
      <c r="HA187" s="133"/>
      <c r="HB187" s="133"/>
      <c r="HC187" s="133"/>
      <c r="HD187" s="133"/>
      <c r="HE187" s="133"/>
      <c r="HF187" s="133"/>
      <c r="HG187" s="133"/>
      <c r="HH187" s="133"/>
      <c r="HI187" s="133"/>
      <c r="HJ187" s="133"/>
      <c r="HK187" s="133"/>
      <c r="HL187" s="133"/>
      <c r="HM187" s="133"/>
      <c r="HN187" s="133"/>
      <c r="HO187" s="133"/>
      <c r="HP187" s="133"/>
      <c r="HQ187" s="133"/>
      <c r="HR187" s="133"/>
      <c r="HS187" s="133"/>
      <c r="HT187" s="133"/>
      <c r="HU187" s="133"/>
      <c r="HV187" s="133"/>
      <c r="HW187" s="133"/>
      <c r="HX187" s="133"/>
      <c r="HY187" s="133"/>
      <c r="HZ187" s="133"/>
      <c r="IA187" s="133"/>
      <c r="IB187" s="133"/>
      <c r="IC187" s="133"/>
      <c r="ID187" s="133"/>
      <c r="IE187" s="133"/>
      <c r="IF187" s="133"/>
      <c r="IG187" s="133"/>
      <c r="IH187" s="133"/>
      <c r="II187" s="133"/>
      <c r="IJ187" s="133"/>
      <c r="IK187" s="133"/>
      <c r="IL187" s="133"/>
      <c r="IM187" s="133"/>
      <c r="IN187" s="133"/>
      <c r="IO187" s="133"/>
      <c r="IP187" s="133"/>
      <c r="IQ187" s="133"/>
      <c r="IR187" s="133"/>
      <c r="IS187" s="133"/>
      <c r="IT187" s="133"/>
      <c r="IU187" s="133"/>
      <c r="IV187" s="133"/>
    </row>
    <row r="188" spans="1:256" s="132" customFormat="1" ht="13.8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GE188" s="133"/>
      <c r="GF188" s="133"/>
      <c r="GG188" s="133"/>
      <c r="GH188" s="133"/>
      <c r="GI188" s="133"/>
      <c r="GJ188" s="133"/>
      <c r="GK188" s="133"/>
      <c r="GL188" s="133"/>
      <c r="GM188" s="133"/>
      <c r="GN188" s="133"/>
      <c r="GO188" s="133"/>
      <c r="GP188" s="133"/>
      <c r="GQ188" s="133"/>
      <c r="GR188" s="133"/>
      <c r="GS188" s="133"/>
      <c r="GT188" s="133"/>
      <c r="GU188" s="133"/>
      <c r="GV188" s="133"/>
      <c r="GW188" s="133"/>
      <c r="GX188" s="133"/>
      <c r="GY188" s="133"/>
      <c r="GZ188" s="133"/>
      <c r="HA188" s="133"/>
      <c r="HB188" s="133"/>
      <c r="HC188" s="133"/>
      <c r="HD188" s="133"/>
      <c r="HE188" s="133"/>
      <c r="HF188" s="133"/>
      <c r="HG188" s="133"/>
      <c r="HH188" s="133"/>
      <c r="HI188" s="133"/>
      <c r="HJ188" s="133"/>
      <c r="HK188" s="133"/>
      <c r="HL188" s="133"/>
      <c r="HM188" s="133"/>
      <c r="HN188" s="133"/>
      <c r="HO188" s="133"/>
      <c r="HP188" s="133"/>
      <c r="HQ188" s="133"/>
      <c r="HR188" s="133"/>
      <c r="HS188" s="133"/>
      <c r="HT188" s="133"/>
      <c r="HU188" s="133"/>
      <c r="HV188" s="133"/>
      <c r="HW188" s="133"/>
      <c r="HX188" s="133"/>
      <c r="HY188" s="133"/>
      <c r="HZ188" s="133"/>
      <c r="IA188" s="133"/>
      <c r="IB188" s="133"/>
      <c r="IC188" s="133"/>
      <c r="ID188" s="133"/>
      <c r="IE188" s="133"/>
      <c r="IF188" s="133"/>
      <c r="IG188" s="133"/>
      <c r="IH188" s="133"/>
      <c r="II188" s="133"/>
      <c r="IJ188" s="133"/>
      <c r="IK188" s="133"/>
      <c r="IL188" s="133"/>
      <c r="IM188" s="133"/>
      <c r="IN188" s="133"/>
      <c r="IO188" s="133"/>
      <c r="IP188" s="133"/>
      <c r="IQ188" s="133"/>
      <c r="IR188" s="133"/>
      <c r="IS188" s="133"/>
      <c r="IT188" s="133"/>
      <c r="IU188" s="133"/>
      <c r="IV188" s="133"/>
    </row>
    <row r="189" spans="1:256" s="132" customFormat="1" ht="13.8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GE189" s="133"/>
      <c r="GF189" s="133"/>
      <c r="GG189" s="133"/>
      <c r="GH189" s="133"/>
      <c r="GI189" s="133"/>
      <c r="GJ189" s="133"/>
      <c r="GK189" s="133"/>
      <c r="GL189" s="133"/>
      <c r="GM189" s="133"/>
      <c r="GN189" s="133"/>
      <c r="GO189" s="133"/>
      <c r="GP189" s="133"/>
      <c r="GQ189" s="133"/>
      <c r="GR189" s="133"/>
      <c r="GS189" s="133"/>
      <c r="GT189" s="133"/>
      <c r="GU189" s="133"/>
      <c r="GV189" s="133"/>
      <c r="GW189" s="133"/>
      <c r="GX189" s="133"/>
      <c r="GY189" s="133"/>
      <c r="GZ189" s="133"/>
      <c r="HA189" s="133"/>
      <c r="HB189" s="133"/>
      <c r="HC189" s="133"/>
      <c r="HD189" s="133"/>
      <c r="HE189" s="133"/>
      <c r="HF189" s="133"/>
      <c r="HG189" s="133"/>
      <c r="HH189" s="133"/>
      <c r="HI189" s="133"/>
      <c r="HJ189" s="133"/>
      <c r="HK189" s="133"/>
      <c r="HL189" s="133"/>
      <c r="HM189" s="133"/>
      <c r="HN189" s="133"/>
      <c r="HO189" s="133"/>
      <c r="HP189" s="133"/>
      <c r="HQ189" s="133"/>
      <c r="HR189" s="133"/>
      <c r="HS189" s="133"/>
      <c r="HT189" s="133"/>
      <c r="HU189" s="133"/>
      <c r="HV189" s="133"/>
      <c r="HW189" s="133"/>
      <c r="HX189" s="133"/>
      <c r="HY189" s="133"/>
      <c r="HZ189" s="133"/>
      <c r="IA189" s="133"/>
      <c r="IB189" s="133"/>
      <c r="IC189" s="133"/>
      <c r="ID189" s="133"/>
      <c r="IE189" s="133"/>
      <c r="IF189" s="133"/>
      <c r="IG189" s="133"/>
      <c r="IH189" s="133"/>
      <c r="II189" s="133"/>
      <c r="IJ189" s="133"/>
      <c r="IK189" s="133"/>
      <c r="IL189" s="133"/>
      <c r="IM189" s="133"/>
      <c r="IN189" s="133"/>
      <c r="IO189" s="133"/>
      <c r="IP189" s="133"/>
      <c r="IQ189" s="133"/>
      <c r="IR189" s="133"/>
      <c r="IS189" s="133"/>
      <c r="IT189" s="133"/>
      <c r="IU189" s="133"/>
      <c r="IV189" s="133"/>
    </row>
    <row r="190" spans="1:256" s="132" customFormat="1" ht="13.8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GE190" s="133"/>
      <c r="GF190" s="133"/>
      <c r="GG190" s="133"/>
      <c r="GH190" s="133"/>
      <c r="GI190" s="133"/>
      <c r="GJ190" s="133"/>
      <c r="GK190" s="133"/>
      <c r="GL190" s="133"/>
      <c r="GM190" s="133"/>
      <c r="GN190" s="133"/>
      <c r="GO190" s="133"/>
      <c r="GP190" s="133"/>
      <c r="GQ190" s="133"/>
      <c r="GR190" s="133"/>
      <c r="GS190" s="133"/>
      <c r="GT190" s="133"/>
      <c r="GU190" s="133"/>
      <c r="GV190" s="133"/>
      <c r="GW190" s="133"/>
      <c r="GX190" s="133"/>
      <c r="GY190" s="133"/>
      <c r="GZ190" s="133"/>
      <c r="HA190" s="133"/>
      <c r="HB190" s="133"/>
      <c r="HC190" s="133"/>
      <c r="HD190" s="133"/>
      <c r="HE190" s="133"/>
      <c r="HF190" s="133"/>
      <c r="HG190" s="133"/>
      <c r="HH190" s="133"/>
      <c r="HI190" s="133"/>
      <c r="HJ190" s="133"/>
      <c r="HK190" s="133"/>
      <c r="HL190" s="133"/>
      <c r="HM190" s="133"/>
      <c r="HN190" s="133"/>
      <c r="HO190" s="133"/>
      <c r="HP190" s="133"/>
      <c r="HQ190" s="133"/>
      <c r="HR190" s="133"/>
      <c r="HS190" s="133"/>
      <c r="HT190" s="133"/>
      <c r="HU190" s="133"/>
      <c r="HV190" s="133"/>
      <c r="HW190" s="133"/>
      <c r="HX190" s="133"/>
      <c r="HY190" s="133"/>
      <c r="HZ190" s="133"/>
      <c r="IA190" s="133"/>
      <c r="IB190" s="133"/>
      <c r="IC190" s="133"/>
      <c r="ID190" s="133"/>
      <c r="IE190" s="133"/>
      <c r="IF190" s="133"/>
      <c r="IG190" s="133"/>
      <c r="IH190" s="133"/>
      <c r="II190" s="133"/>
      <c r="IJ190" s="133"/>
      <c r="IK190" s="133"/>
      <c r="IL190" s="133"/>
      <c r="IM190" s="133"/>
      <c r="IN190" s="133"/>
      <c r="IO190" s="133"/>
      <c r="IP190" s="133"/>
      <c r="IQ190" s="133"/>
      <c r="IR190" s="133"/>
      <c r="IS190" s="133"/>
      <c r="IT190" s="133"/>
      <c r="IU190" s="133"/>
      <c r="IV190" s="133"/>
    </row>
    <row r="191" spans="1:256" s="132" customFormat="1" ht="13.8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GE191" s="133"/>
      <c r="GF191" s="133"/>
      <c r="GG191" s="133"/>
      <c r="GH191" s="133"/>
      <c r="GI191" s="133"/>
      <c r="GJ191" s="133"/>
      <c r="GK191" s="133"/>
      <c r="GL191" s="133"/>
      <c r="GM191" s="133"/>
      <c r="GN191" s="133"/>
      <c r="GO191" s="133"/>
      <c r="GP191" s="133"/>
      <c r="GQ191" s="133"/>
      <c r="GR191" s="133"/>
      <c r="GS191" s="133"/>
      <c r="GT191" s="133"/>
      <c r="GU191" s="133"/>
      <c r="GV191" s="133"/>
      <c r="GW191" s="133"/>
      <c r="GX191" s="133"/>
      <c r="GY191" s="133"/>
      <c r="GZ191" s="133"/>
      <c r="HA191" s="133"/>
      <c r="HB191" s="133"/>
      <c r="HC191" s="133"/>
      <c r="HD191" s="133"/>
      <c r="HE191" s="133"/>
      <c r="HF191" s="133"/>
      <c r="HG191" s="133"/>
      <c r="HH191" s="133"/>
      <c r="HI191" s="133"/>
      <c r="HJ191" s="133"/>
      <c r="HK191" s="133"/>
      <c r="HL191" s="133"/>
      <c r="HM191" s="133"/>
      <c r="HN191" s="133"/>
      <c r="HO191" s="133"/>
      <c r="HP191" s="133"/>
      <c r="HQ191" s="133"/>
      <c r="HR191" s="133"/>
      <c r="HS191" s="133"/>
      <c r="HT191" s="133"/>
      <c r="HU191" s="133"/>
      <c r="HV191" s="133"/>
      <c r="HW191" s="133"/>
      <c r="HX191" s="133"/>
      <c r="HY191" s="133"/>
      <c r="HZ191" s="133"/>
      <c r="IA191" s="133"/>
      <c r="IB191" s="133"/>
      <c r="IC191" s="133"/>
      <c r="ID191" s="133"/>
      <c r="IE191" s="133"/>
      <c r="IF191" s="133"/>
      <c r="IG191" s="133"/>
      <c r="IH191" s="133"/>
      <c r="II191" s="133"/>
      <c r="IJ191" s="133"/>
      <c r="IK191" s="133"/>
      <c r="IL191" s="133"/>
      <c r="IM191" s="133"/>
      <c r="IN191" s="133"/>
      <c r="IO191" s="133"/>
      <c r="IP191" s="133"/>
      <c r="IQ191" s="133"/>
      <c r="IR191" s="133"/>
      <c r="IS191" s="133"/>
      <c r="IT191" s="133"/>
      <c r="IU191" s="133"/>
      <c r="IV191" s="133"/>
    </row>
    <row r="192" spans="1:256" s="132" customFormat="1" ht="13.8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GE192" s="133"/>
      <c r="GF192" s="133"/>
      <c r="GG192" s="133"/>
      <c r="GH192" s="133"/>
      <c r="GI192" s="133"/>
      <c r="GJ192" s="133"/>
      <c r="GK192" s="133"/>
      <c r="GL192" s="133"/>
      <c r="GM192" s="133"/>
      <c r="GN192" s="133"/>
      <c r="GO192" s="133"/>
      <c r="GP192" s="133"/>
      <c r="GQ192" s="133"/>
      <c r="GR192" s="133"/>
      <c r="GS192" s="133"/>
      <c r="GT192" s="133"/>
      <c r="GU192" s="133"/>
      <c r="GV192" s="133"/>
      <c r="GW192" s="133"/>
      <c r="GX192" s="133"/>
      <c r="GY192" s="133"/>
      <c r="GZ192" s="133"/>
      <c r="HA192" s="133"/>
      <c r="HB192" s="133"/>
      <c r="HC192" s="133"/>
      <c r="HD192" s="133"/>
      <c r="HE192" s="133"/>
      <c r="HF192" s="133"/>
      <c r="HG192" s="133"/>
      <c r="HH192" s="133"/>
      <c r="HI192" s="133"/>
      <c r="HJ192" s="133"/>
      <c r="HK192" s="133"/>
      <c r="HL192" s="133"/>
      <c r="HM192" s="133"/>
      <c r="HN192" s="133"/>
      <c r="HO192" s="133"/>
      <c r="HP192" s="133"/>
      <c r="HQ192" s="133"/>
      <c r="HR192" s="133"/>
      <c r="HS192" s="133"/>
      <c r="HT192" s="133"/>
      <c r="HU192" s="133"/>
      <c r="HV192" s="133"/>
      <c r="HW192" s="133"/>
      <c r="HX192" s="133"/>
      <c r="HY192" s="133"/>
      <c r="HZ192" s="133"/>
      <c r="IA192" s="133"/>
      <c r="IB192" s="133"/>
      <c r="IC192" s="133"/>
      <c r="ID192" s="133"/>
      <c r="IE192" s="133"/>
      <c r="IF192" s="133"/>
      <c r="IG192" s="133"/>
      <c r="IH192" s="133"/>
      <c r="II192" s="133"/>
      <c r="IJ192" s="133"/>
      <c r="IK192" s="133"/>
      <c r="IL192" s="133"/>
      <c r="IM192" s="133"/>
      <c r="IN192" s="133"/>
      <c r="IO192" s="133"/>
      <c r="IP192" s="133"/>
      <c r="IQ192" s="133"/>
      <c r="IR192" s="133"/>
      <c r="IS192" s="133"/>
      <c r="IT192" s="133"/>
      <c r="IU192" s="133"/>
      <c r="IV192" s="133"/>
    </row>
    <row r="193" spans="1:256" s="132" customFormat="1" ht="13.8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GE193" s="133"/>
      <c r="GF193" s="133"/>
      <c r="GG193" s="133"/>
      <c r="GH193" s="133"/>
      <c r="GI193" s="133"/>
      <c r="GJ193" s="133"/>
      <c r="GK193" s="133"/>
      <c r="GL193" s="133"/>
      <c r="GM193" s="133"/>
      <c r="GN193" s="133"/>
      <c r="GO193" s="133"/>
      <c r="GP193" s="133"/>
      <c r="GQ193" s="133"/>
      <c r="GR193" s="133"/>
      <c r="GS193" s="133"/>
      <c r="GT193" s="133"/>
      <c r="GU193" s="133"/>
      <c r="GV193" s="133"/>
      <c r="GW193" s="133"/>
      <c r="GX193" s="133"/>
      <c r="GY193" s="133"/>
      <c r="GZ193" s="133"/>
      <c r="HA193" s="133"/>
      <c r="HB193" s="133"/>
      <c r="HC193" s="133"/>
      <c r="HD193" s="133"/>
      <c r="HE193" s="133"/>
      <c r="HF193" s="133"/>
      <c r="HG193" s="133"/>
      <c r="HH193" s="133"/>
      <c r="HI193" s="133"/>
      <c r="HJ193" s="133"/>
      <c r="HK193" s="133"/>
      <c r="HL193" s="133"/>
      <c r="HM193" s="133"/>
      <c r="HN193" s="133"/>
      <c r="HO193" s="133"/>
      <c r="HP193" s="133"/>
      <c r="HQ193" s="133"/>
      <c r="HR193" s="133"/>
      <c r="HS193" s="133"/>
      <c r="HT193" s="133"/>
      <c r="HU193" s="133"/>
      <c r="HV193" s="133"/>
      <c r="HW193" s="133"/>
      <c r="HX193" s="133"/>
      <c r="HY193" s="133"/>
      <c r="HZ193" s="133"/>
      <c r="IA193" s="133"/>
      <c r="IB193" s="133"/>
      <c r="IC193" s="133"/>
      <c r="ID193" s="133"/>
      <c r="IE193" s="133"/>
      <c r="IF193" s="133"/>
      <c r="IG193" s="133"/>
      <c r="IH193" s="133"/>
      <c r="II193" s="133"/>
      <c r="IJ193" s="133"/>
      <c r="IK193" s="133"/>
      <c r="IL193" s="133"/>
      <c r="IM193" s="133"/>
      <c r="IN193" s="133"/>
      <c r="IO193" s="133"/>
      <c r="IP193" s="133"/>
      <c r="IQ193" s="133"/>
      <c r="IR193" s="133"/>
      <c r="IS193" s="133"/>
      <c r="IT193" s="133"/>
      <c r="IU193" s="133"/>
      <c r="IV193" s="133"/>
    </row>
    <row r="194" spans="1:256" s="132" customFormat="1" ht="13.8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GE194" s="133"/>
      <c r="GF194" s="133"/>
      <c r="GG194" s="133"/>
      <c r="GH194" s="133"/>
      <c r="GI194" s="133"/>
      <c r="GJ194" s="133"/>
      <c r="GK194" s="133"/>
      <c r="GL194" s="133"/>
      <c r="GM194" s="133"/>
      <c r="GN194" s="133"/>
      <c r="GO194" s="133"/>
      <c r="GP194" s="133"/>
      <c r="GQ194" s="133"/>
      <c r="GR194" s="133"/>
      <c r="GS194" s="133"/>
      <c r="GT194" s="133"/>
      <c r="GU194" s="133"/>
      <c r="GV194" s="133"/>
      <c r="GW194" s="133"/>
      <c r="GX194" s="133"/>
      <c r="GY194" s="133"/>
      <c r="GZ194" s="133"/>
      <c r="HA194" s="133"/>
      <c r="HB194" s="133"/>
      <c r="HC194" s="133"/>
      <c r="HD194" s="133"/>
      <c r="HE194" s="133"/>
      <c r="HF194" s="133"/>
      <c r="HG194" s="133"/>
      <c r="HH194" s="133"/>
      <c r="HI194" s="133"/>
      <c r="HJ194" s="133"/>
      <c r="HK194" s="133"/>
      <c r="HL194" s="133"/>
      <c r="HM194" s="133"/>
      <c r="HN194" s="133"/>
      <c r="HO194" s="133"/>
      <c r="HP194" s="133"/>
      <c r="HQ194" s="133"/>
      <c r="HR194" s="133"/>
      <c r="HS194" s="133"/>
      <c r="HT194" s="133"/>
      <c r="HU194" s="133"/>
      <c r="HV194" s="133"/>
      <c r="HW194" s="133"/>
      <c r="HX194" s="133"/>
      <c r="HY194" s="133"/>
      <c r="HZ194" s="133"/>
      <c r="IA194" s="133"/>
      <c r="IB194" s="133"/>
      <c r="IC194" s="133"/>
      <c r="ID194" s="133"/>
      <c r="IE194" s="133"/>
      <c r="IF194" s="133"/>
      <c r="IG194" s="133"/>
      <c r="IH194" s="133"/>
      <c r="II194" s="133"/>
      <c r="IJ194" s="133"/>
      <c r="IK194" s="133"/>
      <c r="IL194" s="133"/>
      <c r="IM194" s="133"/>
      <c r="IN194" s="133"/>
      <c r="IO194" s="133"/>
      <c r="IP194" s="133"/>
      <c r="IQ194" s="133"/>
      <c r="IR194" s="133"/>
      <c r="IS194" s="133"/>
      <c r="IT194" s="133"/>
      <c r="IU194" s="133"/>
      <c r="IV194" s="133"/>
    </row>
    <row r="195" spans="1:256" s="132" customFormat="1" ht="13.8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GE195" s="133"/>
      <c r="GF195" s="133"/>
      <c r="GG195" s="133"/>
      <c r="GH195" s="133"/>
      <c r="GI195" s="133"/>
      <c r="GJ195" s="133"/>
      <c r="GK195" s="133"/>
      <c r="GL195" s="133"/>
      <c r="GM195" s="133"/>
      <c r="GN195" s="133"/>
      <c r="GO195" s="133"/>
      <c r="GP195" s="133"/>
      <c r="GQ195" s="133"/>
      <c r="GR195" s="133"/>
      <c r="GS195" s="133"/>
      <c r="GT195" s="133"/>
      <c r="GU195" s="133"/>
      <c r="GV195" s="133"/>
      <c r="GW195" s="133"/>
      <c r="GX195" s="133"/>
      <c r="GY195" s="133"/>
      <c r="GZ195" s="133"/>
      <c r="HA195" s="133"/>
      <c r="HB195" s="133"/>
      <c r="HC195" s="133"/>
      <c r="HD195" s="133"/>
      <c r="HE195" s="133"/>
      <c r="HF195" s="133"/>
      <c r="HG195" s="133"/>
      <c r="HH195" s="133"/>
      <c r="HI195" s="133"/>
      <c r="HJ195" s="133"/>
      <c r="HK195" s="133"/>
      <c r="HL195" s="133"/>
      <c r="HM195" s="133"/>
      <c r="HN195" s="133"/>
      <c r="HO195" s="133"/>
      <c r="HP195" s="133"/>
      <c r="HQ195" s="133"/>
      <c r="HR195" s="133"/>
      <c r="HS195" s="133"/>
      <c r="HT195" s="133"/>
      <c r="HU195" s="133"/>
      <c r="HV195" s="133"/>
      <c r="HW195" s="133"/>
      <c r="HX195" s="133"/>
      <c r="HY195" s="133"/>
      <c r="HZ195" s="133"/>
      <c r="IA195" s="133"/>
      <c r="IB195" s="133"/>
      <c r="IC195" s="133"/>
      <c r="ID195" s="133"/>
      <c r="IE195" s="133"/>
      <c r="IF195" s="133"/>
      <c r="IG195" s="133"/>
      <c r="IH195" s="133"/>
      <c r="II195" s="133"/>
      <c r="IJ195" s="133"/>
      <c r="IK195" s="133"/>
      <c r="IL195" s="133"/>
      <c r="IM195" s="133"/>
      <c r="IN195" s="133"/>
      <c r="IO195" s="133"/>
      <c r="IP195" s="133"/>
      <c r="IQ195" s="133"/>
      <c r="IR195" s="133"/>
      <c r="IS195" s="133"/>
      <c r="IT195" s="133"/>
      <c r="IU195" s="133"/>
      <c r="IV195" s="133"/>
    </row>
    <row r="196" spans="1:256" s="132" customFormat="1" ht="13.8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GE196" s="133"/>
      <c r="GF196" s="133"/>
      <c r="GG196" s="133"/>
      <c r="GH196" s="133"/>
      <c r="GI196" s="133"/>
      <c r="GJ196" s="133"/>
      <c r="GK196" s="133"/>
      <c r="GL196" s="133"/>
      <c r="GM196" s="133"/>
      <c r="GN196" s="133"/>
      <c r="GO196" s="133"/>
      <c r="GP196" s="133"/>
      <c r="GQ196" s="133"/>
      <c r="GR196" s="133"/>
      <c r="GS196" s="133"/>
      <c r="GT196" s="133"/>
      <c r="GU196" s="133"/>
      <c r="GV196" s="133"/>
      <c r="GW196" s="133"/>
      <c r="GX196" s="133"/>
      <c r="GY196" s="133"/>
      <c r="GZ196" s="133"/>
      <c r="HA196" s="133"/>
      <c r="HB196" s="133"/>
      <c r="HC196" s="133"/>
      <c r="HD196" s="133"/>
      <c r="HE196" s="133"/>
      <c r="HF196" s="133"/>
      <c r="HG196" s="133"/>
      <c r="HH196" s="133"/>
      <c r="HI196" s="133"/>
      <c r="HJ196" s="133"/>
      <c r="HK196" s="133"/>
      <c r="HL196" s="133"/>
      <c r="HM196" s="133"/>
      <c r="HN196" s="133"/>
      <c r="HO196" s="133"/>
      <c r="HP196" s="133"/>
      <c r="HQ196" s="133"/>
      <c r="HR196" s="133"/>
      <c r="HS196" s="133"/>
      <c r="HT196" s="133"/>
      <c r="HU196" s="133"/>
      <c r="HV196" s="133"/>
      <c r="HW196" s="133"/>
      <c r="HX196" s="133"/>
      <c r="HY196" s="133"/>
      <c r="HZ196" s="133"/>
      <c r="IA196" s="133"/>
      <c r="IB196" s="133"/>
      <c r="IC196" s="133"/>
      <c r="ID196" s="133"/>
      <c r="IE196" s="133"/>
      <c r="IF196" s="133"/>
      <c r="IG196" s="133"/>
      <c r="IH196" s="133"/>
      <c r="II196" s="133"/>
      <c r="IJ196" s="133"/>
      <c r="IK196" s="133"/>
      <c r="IL196" s="133"/>
      <c r="IM196" s="133"/>
      <c r="IN196" s="133"/>
      <c r="IO196" s="133"/>
      <c r="IP196" s="133"/>
      <c r="IQ196" s="133"/>
      <c r="IR196" s="133"/>
      <c r="IS196" s="133"/>
      <c r="IT196" s="133"/>
      <c r="IU196" s="133"/>
      <c r="IV196" s="133"/>
    </row>
    <row r="197" spans="1:256" s="132" customFormat="1" ht="13.8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GE197" s="133"/>
      <c r="GF197" s="133"/>
      <c r="GG197" s="133"/>
      <c r="GH197" s="133"/>
      <c r="GI197" s="133"/>
      <c r="GJ197" s="133"/>
      <c r="GK197" s="133"/>
      <c r="GL197" s="133"/>
      <c r="GM197" s="133"/>
      <c r="GN197" s="133"/>
      <c r="GO197" s="133"/>
      <c r="GP197" s="133"/>
      <c r="GQ197" s="133"/>
      <c r="GR197" s="133"/>
      <c r="GS197" s="133"/>
      <c r="GT197" s="133"/>
      <c r="GU197" s="133"/>
      <c r="GV197" s="133"/>
      <c r="GW197" s="133"/>
      <c r="GX197" s="133"/>
      <c r="GY197" s="133"/>
      <c r="GZ197" s="133"/>
      <c r="HA197" s="133"/>
      <c r="HB197" s="133"/>
      <c r="HC197" s="133"/>
      <c r="HD197" s="133"/>
      <c r="HE197" s="133"/>
      <c r="HF197" s="133"/>
      <c r="HG197" s="133"/>
      <c r="HH197" s="133"/>
      <c r="HI197" s="133"/>
      <c r="HJ197" s="133"/>
      <c r="HK197" s="133"/>
      <c r="HL197" s="133"/>
      <c r="HM197" s="133"/>
      <c r="HN197" s="133"/>
      <c r="HO197" s="133"/>
      <c r="HP197" s="133"/>
      <c r="HQ197" s="133"/>
      <c r="HR197" s="133"/>
      <c r="HS197" s="133"/>
      <c r="HT197" s="133"/>
      <c r="HU197" s="133"/>
      <c r="HV197" s="133"/>
      <c r="HW197" s="133"/>
      <c r="HX197" s="133"/>
      <c r="HY197" s="133"/>
      <c r="HZ197" s="133"/>
      <c r="IA197" s="133"/>
      <c r="IB197" s="133"/>
      <c r="IC197" s="133"/>
      <c r="ID197" s="133"/>
      <c r="IE197" s="133"/>
      <c r="IF197" s="133"/>
      <c r="IG197" s="133"/>
      <c r="IH197" s="133"/>
      <c r="II197" s="133"/>
      <c r="IJ197" s="133"/>
      <c r="IK197" s="133"/>
      <c r="IL197" s="133"/>
      <c r="IM197" s="133"/>
      <c r="IN197" s="133"/>
      <c r="IO197" s="133"/>
      <c r="IP197" s="133"/>
      <c r="IQ197" s="133"/>
      <c r="IR197" s="133"/>
      <c r="IS197" s="133"/>
      <c r="IT197" s="133"/>
      <c r="IU197" s="133"/>
      <c r="IV197" s="133"/>
    </row>
    <row r="198" spans="1:256" s="132" customFormat="1" ht="13.8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GE198" s="133"/>
      <c r="GF198" s="133"/>
      <c r="GG198" s="133"/>
      <c r="GH198" s="133"/>
      <c r="GI198" s="133"/>
      <c r="GJ198" s="133"/>
      <c r="GK198" s="133"/>
      <c r="GL198" s="133"/>
      <c r="GM198" s="133"/>
      <c r="GN198" s="133"/>
      <c r="GO198" s="133"/>
      <c r="GP198" s="133"/>
      <c r="GQ198" s="133"/>
      <c r="GR198" s="133"/>
      <c r="GS198" s="133"/>
      <c r="GT198" s="133"/>
      <c r="GU198" s="133"/>
      <c r="GV198" s="133"/>
      <c r="GW198" s="133"/>
      <c r="GX198" s="133"/>
      <c r="GY198" s="133"/>
      <c r="GZ198" s="133"/>
      <c r="HA198" s="133"/>
      <c r="HB198" s="133"/>
      <c r="HC198" s="133"/>
      <c r="HD198" s="133"/>
      <c r="HE198" s="133"/>
      <c r="HF198" s="133"/>
      <c r="HG198" s="133"/>
      <c r="HH198" s="133"/>
      <c r="HI198" s="133"/>
      <c r="HJ198" s="133"/>
      <c r="HK198" s="133"/>
      <c r="HL198" s="133"/>
      <c r="HM198" s="133"/>
      <c r="HN198" s="133"/>
      <c r="HO198" s="133"/>
      <c r="HP198" s="133"/>
      <c r="HQ198" s="133"/>
      <c r="HR198" s="133"/>
      <c r="HS198" s="133"/>
      <c r="HT198" s="133"/>
      <c r="HU198" s="133"/>
      <c r="HV198" s="133"/>
      <c r="HW198" s="133"/>
      <c r="HX198" s="133"/>
      <c r="HY198" s="133"/>
      <c r="HZ198" s="133"/>
      <c r="IA198" s="133"/>
      <c r="IB198" s="133"/>
      <c r="IC198" s="133"/>
      <c r="ID198" s="133"/>
      <c r="IE198" s="133"/>
      <c r="IF198" s="133"/>
      <c r="IG198" s="133"/>
      <c r="IH198" s="133"/>
      <c r="II198" s="133"/>
      <c r="IJ198" s="133"/>
      <c r="IK198" s="133"/>
      <c r="IL198" s="133"/>
      <c r="IM198" s="133"/>
      <c r="IN198" s="133"/>
      <c r="IO198" s="133"/>
      <c r="IP198" s="133"/>
      <c r="IQ198" s="133"/>
      <c r="IR198" s="133"/>
      <c r="IS198" s="133"/>
      <c r="IT198" s="133"/>
      <c r="IU198" s="133"/>
      <c r="IV198" s="133"/>
    </row>
    <row r="199" spans="1:256" s="132" customFormat="1" ht="13.8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GE199" s="133"/>
      <c r="GF199" s="133"/>
      <c r="GG199" s="133"/>
      <c r="GH199" s="133"/>
      <c r="GI199" s="133"/>
      <c r="GJ199" s="133"/>
      <c r="GK199" s="133"/>
      <c r="GL199" s="133"/>
      <c r="GM199" s="133"/>
      <c r="GN199" s="133"/>
      <c r="GO199" s="133"/>
      <c r="GP199" s="133"/>
      <c r="GQ199" s="133"/>
      <c r="GR199" s="133"/>
      <c r="GS199" s="133"/>
      <c r="GT199" s="133"/>
      <c r="GU199" s="133"/>
      <c r="GV199" s="133"/>
      <c r="GW199" s="133"/>
      <c r="GX199" s="133"/>
      <c r="GY199" s="133"/>
      <c r="GZ199" s="133"/>
      <c r="HA199" s="133"/>
      <c r="HB199" s="133"/>
      <c r="HC199" s="133"/>
      <c r="HD199" s="133"/>
      <c r="HE199" s="133"/>
      <c r="HF199" s="133"/>
      <c r="HG199" s="133"/>
      <c r="HH199" s="133"/>
      <c r="HI199" s="133"/>
      <c r="HJ199" s="133"/>
      <c r="HK199" s="133"/>
      <c r="HL199" s="133"/>
      <c r="HM199" s="133"/>
      <c r="HN199" s="133"/>
      <c r="HO199" s="133"/>
      <c r="HP199" s="133"/>
      <c r="HQ199" s="133"/>
      <c r="HR199" s="133"/>
      <c r="HS199" s="133"/>
      <c r="HT199" s="133"/>
      <c r="HU199" s="133"/>
      <c r="HV199" s="133"/>
      <c r="HW199" s="133"/>
      <c r="HX199" s="133"/>
      <c r="HY199" s="133"/>
      <c r="HZ199" s="133"/>
      <c r="IA199" s="133"/>
      <c r="IB199" s="133"/>
      <c r="IC199" s="133"/>
      <c r="ID199" s="133"/>
      <c r="IE199" s="133"/>
      <c r="IF199" s="133"/>
      <c r="IG199" s="133"/>
      <c r="IH199" s="133"/>
      <c r="II199" s="133"/>
      <c r="IJ199" s="133"/>
      <c r="IK199" s="133"/>
      <c r="IL199" s="133"/>
      <c r="IM199" s="133"/>
      <c r="IN199" s="133"/>
      <c r="IO199" s="133"/>
      <c r="IP199" s="133"/>
      <c r="IQ199" s="133"/>
      <c r="IR199" s="133"/>
      <c r="IS199" s="133"/>
      <c r="IT199" s="133"/>
      <c r="IU199" s="133"/>
      <c r="IV199" s="133"/>
    </row>
    <row r="200" spans="1:256" s="132" customFormat="1" ht="13.8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GE200" s="133"/>
      <c r="GF200" s="133"/>
      <c r="GG200" s="133"/>
      <c r="GH200" s="133"/>
      <c r="GI200" s="133"/>
      <c r="GJ200" s="133"/>
      <c r="GK200" s="133"/>
      <c r="GL200" s="133"/>
      <c r="GM200" s="133"/>
      <c r="GN200" s="133"/>
      <c r="GO200" s="133"/>
      <c r="GP200" s="133"/>
      <c r="GQ200" s="133"/>
      <c r="GR200" s="133"/>
      <c r="GS200" s="133"/>
      <c r="GT200" s="133"/>
      <c r="GU200" s="133"/>
      <c r="GV200" s="133"/>
      <c r="GW200" s="133"/>
      <c r="GX200" s="133"/>
      <c r="GY200" s="133"/>
      <c r="GZ200" s="133"/>
      <c r="HA200" s="133"/>
      <c r="HB200" s="133"/>
      <c r="HC200" s="133"/>
      <c r="HD200" s="133"/>
      <c r="HE200" s="133"/>
      <c r="HF200" s="133"/>
      <c r="HG200" s="133"/>
      <c r="HH200" s="133"/>
      <c r="HI200" s="133"/>
      <c r="HJ200" s="133"/>
      <c r="HK200" s="133"/>
      <c r="HL200" s="133"/>
      <c r="HM200" s="133"/>
      <c r="HN200" s="133"/>
      <c r="HO200" s="133"/>
      <c r="HP200" s="133"/>
      <c r="HQ200" s="133"/>
      <c r="HR200" s="133"/>
      <c r="HS200" s="133"/>
      <c r="HT200" s="133"/>
      <c r="HU200" s="133"/>
      <c r="HV200" s="133"/>
      <c r="HW200" s="133"/>
      <c r="HX200" s="133"/>
      <c r="HY200" s="133"/>
      <c r="HZ200" s="133"/>
      <c r="IA200" s="133"/>
      <c r="IB200" s="133"/>
      <c r="IC200" s="133"/>
      <c r="ID200" s="133"/>
      <c r="IE200" s="133"/>
      <c r="IF200" s="133"/>
      <c r="IG200" s="133"/>
      <c r="IH200" s="133"/>
      <c r="II200" s="133"/>
      <c r="IJ200" s="133"/>
      <c r="IK200" s="133"/>
      <c r="IL200" s="133"/>
      <c r="IM200" s="133"/>
      <c r="IN200" s="133"/>
      <c r="IO200" s="133"/>
      <c r="IP200" s="133"/>
      <c r="IQ200" s="133"/>
      <c r="IR200" s="133"/>
      <c r="IS200" s="133"/>
      <c r="IT200" s="133"/>
      <c r="IU200" s="133"/>
      <c r="IV200" s="133"/>
    </row>
    <row r="201" spans="1:256" s="132" customFormat="1" ht="13.8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GE201" s="133"/>
      <c r="GF201" s="133"/>
      <c r="GG201" s="133"/>
      <c r="GH201" s="133"/>
      <c r="GI201" s="133"/>
      <c r="GJ201" s="133"/>
      <c r="GK201" s="133"/>
      <c r="GL201" s="133"/>
      <c r="GM201" s="133"/>
      <c r="GN201" s="133"/>
      <c r="GO201" s="133"/>
      <c r="GP201" s="133"/>
      <c r="GQ201" s="133"/>
      <c r="GR201" s="133"/>
      <c r="GS201" s="133"/>
      <c r="GT201" s="133"/>
      <c r="GU201" s="133"/>
      <c r="GV201" s="133"/>
      <c r="GW201" s="133"/>
      <c r="GX201" s="133"/>
      <c r="GY201" s="133"/>
      <c r="GZ201" s="133"/>
      <c r="HA201" s="133"/>
      <c r="HB201" s="133"/>
      <c r="HC201" s="133"/>
      <c r="HD201" s="133"/>
      <c r="HE201" s="133"/>
      <c r="HF201" s="133"/>
      <c r="HG201" s="133"/>
      <c r="HH201" s="133"/>
      <c r="HI201" s="133"/>
      <c r="HJ201" s="133"/>
      <c r="HK201" s="133"/>
      <c r="HL201" s="133"/>
      <c r="HM201" s="133"/>
      <c r="HN201" s="133"/>
      <c r="HO201" s="133"/>
      <c r="HP201" s="133"/>
      <c r="HQ201" s="133"/>
      <c r="HR201" s="133"/>
      <c r="HS201" s="133"/>
      <c r="HT201" s="133"/>
      <c r="HU201" s="133"/>
      <c r="HV201" s="133"/>
      <c r="HW201" s="133"/>
      <c r="HX201" s="133"/>
      <c r="HY201" s="133"/>
      <c r="HZ201" s="133"/>
      <c r="IA201" s="133"/>
      <c r="IB201" s="133"/>
      <c r="IC201" s="133"/>
      <c r="ID201" s="133"/>
      <c r="IE201" s="133"/>
      <c r="IF201" s="133"/>
      <c r="IG201" s="133"/>
      <c r="IH201" s="133"/>
      <c r="II201" s="133"/>
      <c r="IJ201" s="133"/>
      <c r="IK201" s="133"/>
      <c r="IL201" s="133"/>
      <c r="IM201" s="133"/>
      <c r="IN201" s="133"/>
      <c r="IO201" s="133"/>
      <c r="IP201" s="133"/>
      <c r="IQ201" s="133"/>
      <c r="IR201" s="133"/>
      <c r="IS201" s="133"/>
      <c r="IT201" s="133"/>
      <c r="IU201" s="133"/>
      <c r="IV201" s="133"/>
    </row>
    <row r="202" spans="1:256" s="132" customFormat="1" ht="13.8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GE202" s="133"/>
      <c r="GF202" s="133"/>
      <c r="GG202" s="133"/>
      <c r="GH202" s="133"/>
      <c r="GI202" s="133"/>
      <c r="GJ202" s="133"/>
      <c r="GK202" s="133"/>
      <c r="GL202" s="133"/>
      <c r="GM202" s="133"/>
      <c r="GN202" s="133"/>
      <c r="GO202" s="133"/>
      <c r="GP202" s="133"/>
      <c r="GQ202" s="133"/>
      <c r="GR202" s="133"/>
      <c r="GS202" s="133"/>
      <c r="GT202" s="133"/>
      <c r="GU202" s="133"/>
      <c r="GV202" s="133"/>
      <c r="GW202" s="133"/>
      <c r="GX202" s="133"/>
      <c r="GY202" s="133"/>
      <c r="GZ202" s="133"/>
      <c r="HA202" s="133"/>
      <c r="HB202" s="133"/>
      <c r="HC202" s="133"/>
      <c r="HD202" s="133"/>
      <c r="HE202" s="133"/>
      <c r="HF202" s="133"/>
      <c r="HG202" s="133"/>
      <c r="HH202" s="133"/>
      <c r="HI202" s="133"/>
      <c r="HJ202" s="133"/>
      <c r="HK202" s="133"/>
      <c r="HL202" s="133"/>
      <c r="HM202" s="133"/>
      <c r="HN202" s="133"/>
      <c r="HO202" s="133"/>
      <c r="HP202" s="133"/>
      <c r="HQ202" s="133"/>
      <c r="HR202" s="133"/>
      <c r="HS202" s="133"/>
      <c r="HT202" s="133"/>
      <c r="HU202" s="133"/>
      <c r="HV202" s="133"/>
      <c r="HW202" s="133"/>
      <c r="HX202" s="133"/>
      <c r="HY202" s="133"/>
      <c r="HZ202" s="133"/>
      <c r="IA202" s="133"/>
      <c r="IB202" s="133"/>
      <c r="IC202" s="133"/>
      <c r="ID202" s="133"/>
      <c r="IE202" s="133"/>
      <c r="IF202" s="133"/>
      <c r="IG202" s="133"/>
      <c r="IH202" s="133"/>
      <c r="II202" s="133"/>
      <c r="IJ202" s="133"/>
      <c r="IK202" s="133"/>
      <c r="IL202" s="133"/>
      <c r="IM202" s="133"/>
      <c r="IN202" s="133"/>
      <c r="IO202" s="133"/>
      <c r="IP202" s="133"/>
      <c r="IQ202" s="133"/>
      <c r="IR202" s="133"/>
      <c r="IS202" s="133"/>
      <c r="IT202" s="133"/>
      <c r="IU202" s="133"/>
      <c r="IV202" s="133"/>
    </row>
    <row r="203" spans="1:256" s="132" customFormat="1" ht="13.8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GE203" s="133"/>
      <c r="GF203" s="133"/>
      <c r="GG203" s="133"/>
      <c r="GH203" s="133"/>
      <c r="GI203" s="133"/>
      <c r="GJ203" s="133"/>
      <c r="GK203" s="133"/>
      <c r="GL203" s="133"/>
      <c r="GM203" s="133"/>
      <c r="GN203" s="133"/>
      <c r="GO203" s="133"/>
      <c r="GP203" s="133"/>
      <c r="GQ203" s="133"/>
      <c r="GR203" s="133"/>
      <c r="GS203" s="133"/>
      <c r="GT203" s="133"/>
      <c r="GU203" s="133"/>
      <c r="GV203" s="133"/>
      <c r="GW203" s="133"/>
      <c r="GX203" s="133"/>
      <c r="GY203" s="133"/>
      <c r="GZ203" s="133"/>
      <c r="HA203" s="133"/>
      <c r="HB203" s="133"/>
      <c r="HC203" s="133"/>
      <c r="HD203" s="133"/>
      <c r="HE203" s="133"/>
      <c r="HF203" s="133"/>
      <c r="HG203" s="133"/>
      <c r="HH203" s="133"/>
      <c r="HI203" s="133"/>
      <c r="HJ203" s="133"/>
      <c r="HK203" s="133"/>
      <c r="HL203" s="133"/>
      <c r="HM203" s="133"/>
      <c r="HN203" s="133"/>
      <c r="HO203" s="133"/>
      <c r="HP203" s="133"/>
      <c r="HQ203" s="133"/>
      <c r="HR203" s="133"/>
      <c r="HS203" s="133"/>
      <c r="HT203" s="133"/>
      <c r="HU203" s="133"/>
      <c r="HV203" s="133"/>
      <c r="HW203" s="133"/>
      <c r="HX203" s="133"/>
      <c r="HY203" s="133"/>
      <c r="HZ203" s="133"/>
      <c r="IA203" s="133"/>
      <c r="IB203" s="133"/>
      <c r="IC203" s="133"/>
      <c r="ID203" s="133"/>
      <c r="IE203" s="133"/>
      <c r="IF203" s="133"/>
      <c r="IG203" s="133"/>
      <c r="IH203" s="133"/>
      <c r="II203" s="133"/>
      <c r="IJ203" s="133"/>
      <c r="IK203" s="133"/>
      <c r="IL203" s="133"/>
      <c r="IM203" s="133"/>
      <c r="IN203" s="133"/>
      <c r="IO203" s="133"/>
      <c r="IP203" s="133"/>
      <c r="IQ203" s="133"/>
      <c r="IR203" s="133"/>
      <c r="IS203" s="133"/>
      <c r="IT203" s="133"/>
      <c r="IU203" s="133"/>
      <c r="IV203" s="133"/>
    </row>
    <row r="204" spans="1:256" s="132" customFormat="1" ht="13.8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GE204" s="133"/>
      <c r="GF204" s="133"/>
      <c r="GG204" s="133"/>
      <c r="GH204" s="133"/>
      <c r="GI204" s="133"/>
      <c r="GJ204" s="133"/>
      <c r="GK204" s="133"/>
      <c r="GL204" s="133"/>
      <c r="GM204" s="133"/>
      <c r="GN204" s="133"/>
      <c r="GO204" s="133"/>
      <c r="GP204" s="133"/>
      <c r="GQ204" s="133"/>
      <c r="GR204" s="133"/>
      <c r="GS204" s="133"/>
      <c r="GT204" s="133"/>
      <c r="GU204" s="133"/>
      <c r="GV204" s="133"/>
      <c r="GW204" s="133"/>
      <c r="GX204" s="133"/>
      <c r="GY204" s="133"/>
      <c r="GZ204" s="133"/>
      <c r="HA204" s="133"/>
      <c r="HB204" s="133"/>
      <c r="HC204" s="133"/>
      <c r="HD204" s="133"/>
      <c r="HE204" s="133"/>
      <c r="HF204" s="133"/>
      <c r="HG204" s="133"/>
      <c r="HH204" s="133"/>
      <c r="HI204" s="133"/>
      <c r="HJ204" s="133"/>
      <c r="HK204" s="133"/>
      <c r="HL204" s="133"/>
      <c r="HM204" s="133"/>
      <c r="HN204" s="133"/>
      <c r="HO204" s="133"/>
      <c r="HP204" s="133"/>
      <c r="HQ204" s="133"/>
      <c r="HR204" s="133"/>
      <c r="HS204" s="133"/>
      <c r="HT204" s="133"/>
      <c r="HU204" s="133"/>
      <c r="HV204" s="133"/>
      <c r="HW204" s="133"/>
      <c r="HX204" s="133"/>
      <c r="HY204" s="133"/>
      <c r="HZ204" s="133"/>
      <c r="IA204" s="133"/>
      <c r="IB204" s="133"/>
      <c r="IC204" s="133"/>
      <c r="ID204" s="133"/>
      <c r="IE204" s="133"/>
      <c r="IF204" s="133"/>
      <c r="IG204" s="133"/>
      <c r="IH204" s="133"/>
      <c r="II204" s="133"/>
      <c r="IJ204" s="133"/>
      <c r="IK204" s="133"/>
      <c r="IL204" s="133"/>
      <c r="IM204" s="133"/>
      <c r="IN204" s="133"/>
      <c r="IO204" s="133"/>
      <c r="IP204" s="133"/>
      <c r="IQ204" s="133"/>
      <c r="IR204" s="133"/>
      <c r="IS204" s="133"/>
      <c r="IT204" s="133"/>
      <c r="IU204" s="133"/>
      <c r="IV204" s="133"/>
    </row>
    <row r="205" spans="1:256" s="132" customFormat="1" ht="13.8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GE205" s="133"/>
      <c r="GF205" s="133"/>
      <c r="GG205" s="133"/>
      <c r="GH205" s="133"/>
      <c r="GI205" s="133"/>
      <c r="GJ205" s="133"/>
      <c r="GK205" s="133"/>
      <c r="GL205" s="133"/>
      <c r="GM205" s="133"/>
      <c r="GN205" s="133"/>
      <c r="GO205" s="133"/>
      <c r="GP205" s="133"/>
      <c r="GQ205" s="133"/>
      <c r="GR205" s="133"/>
      <c r="GS205" s="133"/>
      <c r="GT205" s="133"/>
      <c r="GU205" s="133"/>
      <c r="GV205" s="133"/>
      <c r="GW205" s="133"/>
      <c r="GX205" s="133"/>
      <c r="GY205" s="133"/>
      <c r="GZ205" s="133"/>
      <c r="HA205" s="133"/>
      <c r="HB205" s="133"/>
      <c r="HC205" s="133"/>
      <c r="HD205" s="133"/>
      <c r="HE205" s="133"/>
      <c r="HF205" s="133"/>
      <c r="HG205" s="133"/>
      <c r="HH205" s="133"/>
      <c r="HI205" s="133"/>
      <c r="HJ205" s="133"/>
      <c r="HK205" s="133"/>
      <c r="HL205" s="133"/>
      <c r="HM205" s="133"/>
      <c r="HN205" s="133"/>
      <c r="HO205" s="133"/>
      <c r="HP205" s="133"/>
      <c r="HQ205" s="133"/>
      <c r="HR205" s="133"/>
      <c r="HS205" s="133"/>
      <c r="HT205" s="133"/>
      <c r="HU205" s="133"/>
      <c r="HV205" s="133"/>
      <c r="HW205" s="133"/>
      <c r="HX205" s="133"/>
      <c r="HY205" s="133"/>
      <c r="HZ205" s="133"/>
      <c r="IA205" s="133"/>
      <c r="IB205" s="133"/>
      <c r="IC205" s="133"/>
      <c r="ID205" s="133"/>
      <c r="IE205" s="133"/>
      <c r="IF205" s="133"/>
      <c r="IG205" s="133"/>
      <c r="IH205" s="133"/>
      <c r="II205" s="133"/>
      <c r="IJ205" s="133"/>
      <c r="IK205" s="133"/>
      <c r="IL205" s="133"/>
      <c r="IM205" s="133"/>
      <c r="IN205" s="133"/>
      <c r="IO205" s="133"/>
      <c r="IP205" s="133"/>
      <c r="IQ205" s="133"/>
      <c r="IR205" s="133"/>
      <c r="IS205" s="133"/>
      <c r="IT205" s="133"/>
      <c r="IU205" s="133"/>
      <c r="IV205" s="133"/>
    </row>
    <row r="206" spans="1:256" s="132" customFormat="1" ht="13.8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GE206" s="133"/>
      <c r="GF206" s="133"/>
      <c r="GG206" s="133"/>
      <c r="GH206" s="133"/>
      <c r="GI206" s="133"/>
      <c r="GJ206" s="133"/>
      <c r="GK206" s="133"/>
      <c r="GL206" s="133"/>
      <c r="GM206" s="133"/>
      <c r="GN206" s="133"/>
      <c r="GO206" s="133"/>
      <c r="GP206" s="133"/>
      <c r="GQ206" s="133"/>
      <c r="GR206" s="133"/>
      <c r="GS206" s="133"/>
      <c r="GT206" s="133"/>
      <c r="GU206" s="133"/>
      <c r="GV206" s="133"/>
      <c r="GW206" s="133"/>
      <c r="GX206" s="133"/>
      <c r="GY206" s="133"/>
      <c r="GZ206" s="133"/>
      <c r="HA206" s="133"/>
      <c r="HB206" s="133"/>
      <c r="HC206" s="133"/>
      <c r="HD206" s="133"/>
      <c r="HE206" s="133"/>
      <c r="HF206" s="133"/>
      <c r="HG206" s="133"/>
      <c r="HH206" s="133"/>
      <c r="HI206" s="133"/>
      <c r="HJ206" s="133"/>
      <c r="HK206" s="133"/>
      <c r="HL206" s="133"/>
      <c r="HM206" s="133"/>
      <c r="HN206" s="133"/>
      <c r="HO206" s="133"/>
      <c r="HP206" s="133"/>
      <c r="HQ206" s="133"/>
      <c r="HR206" s="133"/>
      <c r="HS206" s="133"/>
      <c r="HT206" s="133"/>
      <c r="HU206" s="133"/>
      <c r="HV206" s="133"/>
      <c r="HW206" s="133"/>
      <c r="HX206" s="133"/>
      <c r="HY206" s="133"/>
      <c r="HZ206" s="133"/>
      <c r="IA206" s="133"/>
      <c r="IB206" s="133"/>
      <c r="IC206" s="133"/>
      <c r="ID206" s="133"/>
      <c r="IE206" s="133"/>
      <c r="IF206" s="133"/>
      <c r="IG206" s="133"/>
      <c r="IH206" s="133"/>
      <c r="II206" s="133"/>
      <c r="IJ206" s="133"/>
      <c r="IK206" s="133"/>
      <c r="IL206" s="133"/>
      <c r="IM206" s="133"/>
      <c r="IN206" s="133"/>
      <c r="IO206" s="133"/>
      <c r="IP206" s="133"/>
      <c r="IQ206" s="133"/>
      <c r="IR206" s="133"/>
      <c r="IS206" s="133"/>
      <c r="IT206" s="133"/>
      <c r="IU206" s="133"/>
      <c r="IV206" s="133"/>
    </row>
    <row r="207" spans="1:256" s="132" customFormat="1" ht="13.8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GE207" s="133"/>
      <c r="GF207" s="133"/>
      <c r="GG207" s="133"/>
      <c r="GH207" s="133"/>
      <c r="GI207" s="133"/>
      <c r="GJ207" s="133"/>
      <c r="GK207" s="133"/>
      <c r="GL207" s="133"/>
      <c r="GM207" s="133"/>
      <c r="GN207" s="133"/>
      <c r="GO207" s="133"/>
      <c r="GP207" s="133"/>
      <c r="GQ207" s="133"/>
      <c r="GR207" s="133"/>
      <c r="GS207" s="133"/>
      <c r="GT207" s="133"/>
      <c r="GU207" s="133"/>
      <c r="GV207" s="133"/>
      <c r="GW207" s="133"/>
      <c r="GX207" s="133"/>
      <c r="GY207" s="133"/>
      <c r="GZ207" s="133"/>
      <c r="HA207" s="133"/>
      <c r="HB207" s="133"/>
      <c r="HC207" s="133"/>
      <c r="HD207" s="133"/>
      <c r="HE207" s="133"/>
      <c r="HF207" s="133"/>
      <c r="HG207" s="133"/>
      <c r="HH207" s="133"/>
      <c r="HI207" s="133"/>
      <c r="HJ207" s="133"/>
      <c r="HK207" s="133"/>
      <c r="HL207" s="133"/>
      <c r="HM207" s="133"/>
      <c r="HN207" s="133"/>
      <c r="HO207" s="133"/>
      <c r="HP207" s="133"/>
      <c r="HQ207" s="133"/>
      <c r="HR207" s="133"/>
      <c r="HS207" s="133"/>
      <c r="HT207" s="133"/>
      <c r="HU207" s="133"/>
      <c r="HV207" s="133"/>
      <c r="HW207" s="133"/>
      <c r="HX207" s="133"/>
      <c r="HY207" s="133"/>
      <c r="HZ207" s="133"/>
      <c r="IA207" s="133"/>
      <c r="IB207" s="133"/>
      <c r="IC207" s="133"/>
      <c r="ID207" s="133"/>
      <c r="IE207" s="133"/>
      <c r="IF207" s="133"/>
      <c r="IG207" s="133"/>
      <c r="IH207" s="133"/>
      <c r="II207" s="133"/>
      <c r="IJ207" s="133"/>
      <c r="IK207" s="133"/>
      <c r="IL207" s="133"/>
      <c r="IM207" s="133"/>
      <c r="IN207" s="133"/>
      <c r="IO207" s="133"/>
      <c r="IP207" s="133"/>
      <c r="IQ207" s="133"/>
      <c r="IR207" s="133"/>
      <c r="IS207" s="133"/>
      <c r="IT207" s="133"/>
      <c r="IU207" s="133"/>
      <c r="IV207" s="133"/>
    </row>
    <row r="208" spans="1:256" s="132" customFormat="1" ht="13.8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GE208" s="133"/>
      <c r="GF208" s="133"/>
      <c r="GG208" s="133"/>
      <c r="GH208" s="133"/>
      <c r="GI208" s="133"/>
      <c r="GJ208" s="133"/>
      <c r="GK208" s="133"/>
      <c r="GL208" s="133"/>
      <c r="GM208" s="133"/>
      <c r="GN208" s="133"/>
      <c r="GO208" s="133"/>
      <c r="GP208" s="133"/>
      <c r="GQ208" s="133"/>
      <c r="GR208" s="133"/>
      <c r="GS208" s="133"/>
      <c r="GT208" s="133"/>
      <c r="GU208" s="133"/>
      <c r="GV208" s="133"/>
      <c r="GW208" s="133"/>
      <c r="GX208" s="133"/>
      <c r="GY208" s="133"/>
      <c r="GZ208" s="133"/>
      <c r="HA208" s="133"/>
      <c r="HB208" s="133"/>
      <c r="HC208" s="133"/>
      <c r="HD208" s="133"/>
      <c r="HE208" s="133"/>
      <c r="HF208" s="133"/>
      <c r="HG208" s="133"/>
      <c r="HH208" s="133"/>
      <c r="HI208" s="133"/>
      <c r="HJ208" s="133"/>
      <c r="HK208" s="133"/>
      <c r="HL208" s="133"/>
      <c r="HM208" s="133"/>
      <c r="HN208" s="133"/>
      <c r="HO208" s="133"/>
      <c r="HP208" s="133"/>
      <c r="HQ208" s="133"/>
      <c r="HR208" s="133"/>
      <c r="HS208" s="133"/>
      <c r="HT208" s="133"/>
      <c r="HU208" s="133"/>
      <c r="HV208" s="133"/>
      <c r="HW208" s="133"/>
      <c r="HX208" s="133"/>
      <c r="HY208" s="133"/>
      <c r="HZ208" s="133"/>
      <c r="IA208" s="133"/>
      <c r="IB208" s="133"/>
      <c r="IC208" s="133"/>
      <c r="ID208" s="133"/>
      <c r="IE208" s="133"/>
      <c r="IF208" s="133"/>
      <c r="IG208" s="133"/>
      <c r="IH208" s="133"/>
      <c r="II208" s="133"/>
      <c r="IJ208" s="133"/>
      <c r="IK208" s="133"/>
      <c r="IL208" s="133"/>
      <c r="IM208" s="133"/>
      <c r="IN208" s="133"/>
      <c r="IO208" s="133"/>
      <c r="IP208" s="133"/>
      <c r="IQ208" s="133"/>
      <c r="IR208" s="133"/>
      <c r="IS208" s="133"/>
      <c r="IT208" s="133"/>
      <c r="IU208" s="133"/>
      <c r="IV208" s="133"/>
    </row>
    <row r="209" spans="1:256" s="132" customFormat="1" ht="13.8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GE209" s="133"/>
      <c r="GF209" s="133"/>
      <c r="GG209" s="133"/>
      <c r="GH209" s="133"/>
      <c r="GI209" s="133"/>
      <c r="GJ209" s="133"/>
      <c r="GK209" s="133"/>
      <c r="GL209" s="133"/>
      <c r="GM209" s="133"/>
      <c r="GN209" s="133"/>
      <c r="GO209" s="133"/>
      <c r="GP209" s="133"/>
      <c r="GQ209" s="133"/>
      <c r="GR209" s="133"/>
      <c r="GS209" s="133"/>
      <c r="GT209" s="133"/>
      <c r="GU209" s="133"/>
      <c r="GV209" s="133"/>
      <c r="GW209" s="133"/>
      <c r="GX209" s="133"/>
      <c r="GY209" s="133"/>
      <c r="GZ209" s="133"/>
      <c r="HA209" s="133"/>
      <c r="HB209" s="133"/>
      <c r="HC209" s="133"/>
      <c r="HD209" s="133"/>
      <c r="HE209" s="133"/>
      <c r="HF209" s="133"/>
      <c r="HG209" s="133"/>
      <c r="HH209" s="133"/>
      <c r="HI209" s="133"/>
      <c r="HJ209" s="133"/>
      <c r="HK209" s="133"/>
      <c r="HL209" s="133"/>
      <c r="HM209" s="133"/>
      <c r="HN209" s="133"/>
      <c r="HO209" s="133"/>
      <c r="HP209" s="133"/>
      <c r="HQ209" s="133"/>
      <c r="HR209" s="133"/>
      <c r="HS209" s="133"/>
      <c r="HT209" s="133"/>
      <c r="HU209" s="133"/>
      <c r="HV209" s="133"/>
      <c r="HW209" s="133"/>
      <c r="HX209" s="133"/>
      <c r="HY209" s="133"/>
      <c r="HZ209" s="133"/>
      <c r="IA209" s="133"/>
      <c r="IB209" s="133"/>
      <c r="IC209" s="133"/>
      <c r="ID209" s="133"/>
      <c r="IE209" s="133"/>
      <c r="IF209" s="133"/>
      <c r="IG209" s="133"/>
      <c r="IH209" s="133"/>
      <c r="II209" s="133"/>
      <c r="IJ209" s="133"/>
      <c r="IK209" s="133"/>
      <c r="IL209" s="133"/>
      <c r="IM209" s="133"/>
      <c r="IN209" s="133"/>
      <c r="IO209" s="133"/>
      <c r="IP209" s="133"/>
      <c r="IQ209" s="133"/>
      <c r="IR209" s="133"/>
      <c r="IS209" s="133"/>
      <c r="IT209" s="133"/>
      <c r="IU209" s="133"/>
      <c r="IV209" s="133"/>
    </row>
    <row r="210" spans="1:256" s="132" customFormat="1" ht="13.8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GE210" s="133"/>
      <c r="GF210" s="133"/>
      <c r="GG210" s="133"/>
      <c r="GH210" s="133"/>
      <c r="GI210" s="133"/>
      <c r="GJ210" s="133"/>
      <c r="GK210" s="133"/>
      <c r="GL210" s="133"/>
      <c r="GM210" s="133"/>
      <c r="GN210" s="133"/>
      <c r="GO210" s="133"/>
      <c r="GP210" s="133"/>
      <c r="GQ210" s="133"/>
      <c r="GR210" s="133"/>
      <c r="GS210" s="133"/>
      <c r="GT210" s="133"/>
      <c r="GU210" s="133"/>
      <c r="GV210" s="133"/>
      <c r="GW210" s="133"/>
      <c r="GX210" s="133"/>
      <c r="GY210" s="133"/>
      <c r="GZ210" s="133"/>
      <c r="HA210" s="133"/>
      <c r="HB210" s="133"/>
      <c r="HC210" s="133"/>
      <c r="HD210" s="133"/>
      <c r="HE210" s="133"/>
      <c r="HF210" s="133"/>
      <c r="HG210" s="133"/>
      <c r="HH210" s="133"/>
      <c r="HI210" s="133"/>
      <c r="HJ210" s="133"/>
      <c r="HK210" s="133"/>
      <c r="HL210" s="133"/>
      <c r="HM210" s="133"/>
      <c r="HN210" s="133"/>
      <c r="HO210" s="133"/>
      <c r="HP210" s="133"/>
      <c r="HQ210" s="133"/>
      <c r="HR210" s="133"/>
      <c r="HS210" s="133"/>
      <c r="HT210" s="133"/>
      <c r="HU210" s="133"/>
      <c r="HV210" s="133"/>
      <c r="HW210" s="133"/>
      <c r="HX210" s="133"/>
      <c r="HY210" s="133"/>
      <c r="HZ210" s="133"/>
      <c r="IA210" s="133"/>
      <c r="IB210" s="133"/>
      <c r="IC210" s="133"/>
      <c r="ID210" s="133"/>
      <c r="IE210" s="133"/>
      <c r="IF210" s="133"/>
      <c r="IG210" s="133"/>
      <c r="IH210" s="133"/>
      <c r="II210" s="133"/>
      <c r="IJ210" s="133"/>
      <c r="IK210" s="133"/>
      <c r="IL210" s="133"/>
      <c r="IM210" s="133"/>
      <c r="IN210" s="133"/>
      <c r="IO210" s="133"/>
      <c r="IP210" s="133"/>
      <c r="IQ210" s="133"/>
      <c r="IR210" s="133"/>
      <c r="IS210" s="133"/>
      <c r="IT210" s="133"/>
      <c r="IU210" s="133"/>
      <c r="IV210" s="133"/>
    </row>
    <row r="211" spans="1:256" s="132" customFormat="1" ht="13.8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GE211" s="133"/>
      <c r="GF211" s="133"/>
      <c r="GG211" s="133"/>
      <c r="GH211" s="133"/>
      <c r="GI211" s="133"/>
      <c r="GJ211" s="133"/>
      <c r="GK211" s="133"/>
      <c r="GL211" s="133"/>
      <c r="GM211" s="133"/>
      <c r="GN211" s="133"/>
      <c r="GO211" s="133"/>
      <c r="GP211" s="133"/>
      <c r="GQ211" s="133"/>
      <c r="GR211" s="133"/>
      <c r="GS211" s="133"/>
      <c r="GT211" s="133"/>
      <c r="GU211" s="133"/>
      <c r="GV211" s="133"/>
      <c r="GW211" s="133"/>
      <c r="GX211" s="133"/>
      <c r="GY211" s="133"/>
      <c r="GZ211" s="133"/>
      <c r="HA211" s="133"/>
      <c r="HB211" s="133"/>
      <c r="HC211" s="133"/>
      <c r="HD211" s="133"/>
      <c r="HE211" s="133"/>
      <c r="HF211" s="133"/>
      <c r="HG211" s="133"/>
      <c r="HH211" s="133"/>
      <c r="HI211" s="133"/>
      <c r="HJ211" s="133"/>
      <c r="HK211" s="133"/>
      <c r="HL211" s="133"/>
      <c r="HM211" s="133"/>
      <c r="HN211" s="133"/>
      <c r="HO211" s="133"/>
      <c r="HP211" s="133"/>
      <c r="HQ211" s="133"/>
      <c r="HR211" s="133"/>
      <c r="HS211" s="133"/>
      <c r="HT211" s="133"/>
      <c r="HU211" s="133"/>
      <c r="HV211" s="133"/>
      <c r="HW211" s="133"/>
      <c r="HX211" s="133"/>
      <c r="HY211" s="133"/>
      <c r="HZ211" s="133"/>
      <c r="IA211" s="133"/>
      <c r="IB211" s="133"/>
      <c r="IC211" s="133"/>
      <c r="ID211" s="133"/>
      <c r="IE211" s="133"/>
      <c r="IF211" s="133"/>
      <c r="IG211" s="133"/>
      <c r="IH211" s="133"/>
      <c r="II211" s="133"/>
      <c r="IJ211" s="133"/>
      <c r="IK211" s="133"/>
      <c r="IL211" s="133"/>
      <c r="IM211" s="133"/>
      <c r="IN211" s="133"/>
      <c r="IO211" s="133"/>
      <c r="IP211" s="133"/>
      <c r="IQ211" s="133"/>
      <c r="IR211" s="133"/>
      <c r="IS211" s="133"/>
      <c r="IT211" s="133"/>
      <c r="IU211" s="133"/>
      <c r="IV211" s="133"/>
    </row>
    <row r="212" spans="1:256" s="132" customFormat="1" ht="13.8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GE212" s="133"/>
      <c r="GF212" s="133"/>
      <c r="GG212" s="133"/>
      <c r="GH212" s="133"/>
      <c r="GI212" s="133"/>
      <c r="GJ212" s="133"/>
      <c r="GK212" s="133"/>
      <c r="GL212" s="133"/>
      <c r="GM212" s="133"/>
      <c r="GN212" s="133"/>
      <c r="GO212" s="133"/>
      <c r="GP212" s="133"/>
      <c r="GQ212" s="133"/>
      <c r="GR212" s="133"/>
      <c r="GS212" s="133"/>
      <c r="GT212" s="133"/>
      <c r="GU212" s="133"/>
      <c r="GV212" s="133"/>
      <c r="GW212" s="133"/>
      <c r="GX212" s="133"/>
      <c r="GY212" s="133"/>
      <c r="GZ212" s="133"/>
      <c r="HA212" s="133"/>
      <c r="HB212" s="133"/>
      <c r="HC212" s="133"/>
      <c r="HD212" s="133"/>
      <c r="HE212" s="133"/>
      <c r="HF212" s="133"/>
      <c r="HG212" s="133"/>
      <c r="HH212" s="133"/>
      <c r="HI212" s="133"/>
      <c r="HJ212" s="133"/>
      <c r="HK212" s="133"/>
      <c r="HL212" s="133"/>
      <c r="HM212" s="133"/>
      <c r="HN212" s="133"/>
      <c r="HO212" s="133"/>
      <c r="HP212" s="133"/>
      <c r="HQ212" s="133"/>
      <c r="HR212" s="133"/>
      <c r="HS212" s="133"/>
      <c r="HT212" s="133"/>
      <c r="HU212" s="133"/>
      <c r="HV212" s="133"/>
      <c r="HW212" s="133"/>
      <c r="HX212" s="133"/>
      <c r="HY212" s="133"/>
      <c r="HZ212" s="133"/>
      <c r="IA212" s="133"/>
      <c r="IB212" s="133"/>
      <c r="IC212" s="133"/>
      <c r="ID212" s="133"/>
      <c r="IE212" s="133"/>
      <c r="IF212" s="133"/>
      <c r="IG212" s="133"/>
      <c r="IH212" s="133"/>
      <c r="II212" s="133"/>
      <c r="IJ212" s="133"/>
      <c r="IK212" s="133"/>
      <c r="IL212" s="133"/>
      <c r="IM212" s="133"/>
      <c r="IN212" s="133"/>
      <c r="IO212" s="133"/>
      <c r="IP212" s="133"/>
      <c r="IQ212" s="133"/>
      <c r="IR212" s="133"/>
      <c r="IS212" s="133"/>
      <c r="IT212" s="133"/>
      <c r="IU212" s="133"/>
      <c r="IV212" s="133"/>
    </row>
    <row r="213" spans="1:256" s="132" customFormat="1" ht="13.8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GE213" s="133"/>
      <c r="GF213" s="133"/>
      <c r="GG213" s="133"/>
      <c r="GH213" s="133"/>
      <c r="GI213" s="133"/>
      <c r="GJ213" s="133"/>
      <c r="GK213" s="133"/>
      <c r="GL213" s="133"/>
      <c r="GM213" s="133"/>
      <c r="GN213" s="133"/>
      <c r="GO213" s="133"/>
      <c r="GP213" s="133"/>
      <c r="GQ213" s="133"/>
      <c r="GR213" s="133"/>
      <c r="GS213" s="133"/>
      <c r="GT213" s="133"/>
      <c r="GU213" s="133"/>
      <c r="GV213" s="133"/>
      <c r="GW213" s="133"/>
      <c r="GX213" s="133"/>
      <c r="GY213" s="133"/>
      <c r="GZ213" s="133"/>
      <c r="HA213" s="133"/>
      <c r="HB213" s="133"/>
      <c r="HC213" s="133"/>
      <c r="HD213" s="133"/>
      <c r="HE213" s="133"/>
      <c r="HF213" s="133"/>
      <c r="HG213" s="133"/>
      <c r="HH213" s="133"/>
      <c r="HI213" s="133"/>
      <c r="HJ213" s="133"/>
      <c r="HK213" s="133"/>
      <c r="HL213" s="133"/>
      <c r="HM213" s="133"/>
      <c r="HN213" s="133"/>
      <c r="HO213" s="133"/>
      <c r="HP213" s="133"/>
      <c r="HQ213" s="133"/>
      <c r="HR213" s="133"/>
      <c r="HS213" s="133"/>
      <c r="HT213" s="133"/>
      <c r="HU213" s="133"/>
      <c r="HV213" s="133"/>
      <c r="HW213" s="133"/>
      <c r="HX213" s="133"/>
      <c r="HY213" s="133"/>
      <c r="HZ213" s="133"/>
      <c r="IA213" s="133"/>
      <c r="IB213" s="133"/>
      <c r="IC213" s="133"/>
      <c r="ID213" s="133"/>
      <c r="IE213" s="133"/>
      <c r="IF213" s="133"/>
      <c r="IG213" s="133"/>
      <c r="IH213" s="133"/>
      <c r="II213" s="133"/>
      <c r="IJ213" s="133"/>
      <c r="IK213" s="133"/>
      <c r="IL213" s="133"/>
      <c r="IM213" s="133"/>
      <c r="IN213" s="133"/>
      <c r="IO213" s="133"/>
      <c r="IP213" s="133"/>
      <c r="IQ213" s="133"/>
      <c r="IR213" s="133"/>
      <c r="IS213" s="133"/>
      <c r="IT213" s="133"/>
      <c r="IU213" s="133"/>
      <c r="IV213" s="133"/>
    </row>
    <row r="214" spans="1:256" s="132" customFormat="1" ht="13.8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GE214" s="133"/>
      <c r="GF214" s="133"/>
      <c r="GG214" s="133"/>
      <c r="GH214" s="133"/>
      <c r="GI214" s="133"/>
      <c r="GJ214" s="133"/>
      <c r="GK214" s="133"/>
      <c r="GL214" s="133"/>
      <c r="GM214" s="133"/>
      <c r="GN214" s="133"/>
      <c r="GO214" s="133"/>
      <c r="GP214" s="133"/>
      <c r="GQ214" s="133"/>
      <c r="GR214" s="133"/>
      <c r="GS214" s="133"/>
      <c r="GT214" s="133"/>
      <c r="GU214" s="133"/>
      <c r="GV214" s="133"/>
      <c r="GW214" s="133"/>
      <c r="GX214" s="133"/>
      <c r="GY214" s="133"/>
      <c r="GZ214" s="133"/>
      <c r="HA214" s="133"/>
      <c r="HB214" s="133"/>
      <c r="HC214" s="133"/>
      <c r="HD214" s="133"/>
      <c r="HE214" s="133"/>
      <c r="HF214" s="133"/>
      <c r="HG214" s="133"/>
      <c r="HH214" s="133"/>
      <c r="HI214" s="133"/>
      <c r="HJ214" s="133"/>
      <c r="HK214" s="133"/>
      <c r="HL214" s="133"/>
      <c r="HM214" s="133"/>
      <c r="HN214" s="133"/>
      <c r="HO214" s="133"/>
      <c r="HP214" s="133"/>
      <c r="HQ214" s="133"/>
      <c r="HR214" s="133"/>
      <c r="HS214" s="133"/>
      <c r="HT214" s="133"/>
      <c r="HU214" s="133"/>
      <c r="HV214" s="133"/>
      <c r="HW214" s="133"/>
      <c r="HX214" s="133"/>
      <c r="HY214" s="133"/>
      <c r="HZ214" s="133"/>
      <c r="IA214" s="133"/>
      <c r="IB214" s="133"/>
      <c r="IC214" s="133"/>
      <c r="ID214" s="133"/>
      <c r="IE214" s="133"/>
      <c r="IF214" s="133"/>
      <c r="IG214" s="133"/>
      <c r="IH214" s="133"/>
      <c r="II214" s="133"/>
      <c r="IJ214" s="133"/>
      <c r="IK214" s="133"/>
      <c r="IL214" s="133"/>
      <c r="IM214" s="133"/>
      <c r="IN214" s="133"/>
      <c r="IO214" s="133"/>
      <c r="IP214" s="133"/>
      <c r="IQ214" s="133"/>
      <c r="IR214" s="133"/>
      <c r="IS214" s="133"/>
      <c r="IT214" s="133"/>
      <c r="IU214" s="133"/>
      <c r="IV214" s="133"/>
    </row>
    <row r="215" spans="1:256" s="132" customFormat="1" ht="13.8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GE215" s="133"/>
      <c r="GF215" s="133"/>
      <c r="GG215" s="133"/>
      <c r="GH215" s="133"/>
      <c r="GI215" s="133"/>
      <c r="GJ215" s="133"/>
      <c r="GK215" s="133"/>
      <c r="GL215" s="133"/>
      <c r="GM215" s="133"/>
      <c r="GN215" s="133"/>
      <c r="GO215" s="133"/>
      <c r="GP215" s="133"/>
      <c r="GQ215" s="133"/>
      <c r="GR215" s="133"/>
      <c r="GS215" s="133"/>
      <c r="GT215" s="133"/>
      <c r="GU215" s="133"/>
      <c r="GV215" s="133"/>
      <c r="GW215" s="133"/>
      <c r="GX215" s="133"/>
      <c r="GY215" s="133"/>
      <c r="GZ215" s="133"/>
      <c r="HA215" s="133"/>
      <c r="HB215" s="133"/>
      <c r="HC215" s="133"/>
      <c r="HD215" s="133"/>
      <c r="HE215" s="133"/>
      <c r="HF215" s="133"/>
      <c r="HG215" s="133"/>
      <c r="HH215" s="133"/>
      <c r="HI215" s="133"/>
      <c r="HJ215" s="133"/>
      <c r="HK215" s="133"/>
      <c r="HL215" s="133"/>
      <c r="HM215" s="133"/>
      <c r="HN215" s="133"/>
      <c r="HO215" s="133"/>
      <c r="HP215" s="133"/>
      <c r="HQ215" s="133"/>
      <c r="HR215" s="133"/>
      <c r="HS215" s="133"/>
      <c r="HT215" s="133"/>
      <c r="HU215" s="133"/>
      <c r="HV215" s="133"/>
      <c r="HW215" s="133"/>
      <c r="HX215" s="133"/>
      <c r="HY215" s="133"/>
      <c r="HZ215" s="133"/>
      <c r="IA215" s="133"/>
      <c r="IB215" s="133"/>
      <c r="IC215" s="133"/>
      <c r="ID215" s="133"/>
      <c r="IE215" s="133"/>
      <c r="IF215" s="133"/>
      <c r="IG215" s="133"/>
      <c r="IH215" s="133"/>
      <c r="II215" s="133"/>
      <c r="IJ215" s="133"/>
      <c r="IK215" s="133"/>
      <c r="IL215" s="133"/>
      <c r="IM215" s="133"/>
      <c r="IN215" s="133"/>
      <c r="IO215" s="133"/>
      <c r="IP215" s="133"/>
      <c r="IQ215" s="133"/>
      <c r="IR215" s="133"/>
      <c r="IS215" s="133"/>
      <c r="IT215" s="133"/>
      <c r="IU215" s="133"/>
      <c r="IV215" s="133"/>
    </row>
    <row r="216" spans="1:256" s="132" customFormat="1" ht="13.8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GE216" s="133"/>
      <c r="GF216" s="133"/>
      <c r="GG216" s="133"/>
      <c r="GH216" s="133"/>
      <c r="GI216" s="133"/>
      <c r="GJ216" s="133"/>
      <c r="GK216" s="133"/>
      <c r="GL216" s="133"/>
      <c r="GM216" s="133"/>
      <c r="GN216" s="133"/>
      <c r="GO216" s="133"/>
      <c r="GP216" s="133"/>
      <c r="GQ216" s="133"/>
      <c r="GR216" s="133"/>
      <c r="GS216" s="133"/>
      <c r="GT216" s="133"/>
      <c r="GU216" s="133"/>
      <c r="GV216" s="133"/>
      <c r="GW216" s="133"/>
      <c r="GX216" s="133"/>
      <c r="GY216" s="133"/>
      <c r="GZ216" s="133"/>
      <c r="HA216" s="133"/>
      <c r="HB216" s="133"/>
      <c r="HC216" s="133"/>
      <c r="HD216" s="133"/>
      <c r="HE216" s="133"/>
      <c r="HF216" s="133"/>
      <c r="HG216" s="133"/>
      <c r="HH216" s="133"/>
      <c r="HI216" s="133"/>
      <c r="HJ216" s="133"/>
      <c r="HK216" s="133"/>
      <c r="HL216" s="133"/>
      <c r="HM216" s="133"/>
      <c r="HN216" s="133"/>
      <c r="HO216" s="133"/>
      <c r="HP216" s="133"/>
      <c r="HQ216" s="133"/>
      <c r="HR216" s="133"/>
      <c r="HS216" s="133"/>
      <c r="HT216" s="133"/>
      <c r="HU216" s="133"/>
      <c r="HV216" s="133"/>
      <c r="HW216" s="133"/>
      <c r="HX216" s="133"/>
      <c r="HY216" s="133"/>
      <c r="HZ216" s="133"/>
      <c r="IA216" s="133"/>
      <c r="IB216" s="133"/>
      <c r="IC216" s="133"/>
      <c r="ID216" s="133"/>
      <c r="IE216" s="133"/>
      <c r="IF216" s="133"/>
      <c r="IG216" s="133"/>
      <c r="IH216" s="133"/>
      <c r="II216" s="133"/>
      <c r="IJ216" s="133"/>
      <c r="IK216" s="133"/>
      <c r="IL216" s="133"/>
      <c r="IM216" s="133"/>
      <c r="IN216" s="133"/>
      <c r="IO216" s="133"/>
      <c r="IP216" s="133"/>
      <c r="IQ216" s="133"/>
      <c r="IR216" s="133"/>
      <c r="IS216" s="133"/>
      <c r="IT216" s="133"/>
      <c r="IU216" s="133"/>
      <c r="IV216" s="133"/>
    </row>
    <row r="217" spans="1:256" s="132" customFormat="1" ht="13.8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GE217" s="133"/>
      <c r="GF217" s="133"/>
      <c r="GG217" s="133"/>
      <c r="GH217" s="133"/>
      <c r="GI217" s="133"/>
      <c r="GJ217" s="133"/>
      <c r="GK217" s="133"/>
      <c r="GL217" s="133"/>
      <c r="GM217" s="133"/>
      <c r="GN217" s="133"/>
      <c r="GO217" s="133"/>
      <c r="GP217" s="133"/>
      <c r="GQ217" s="133"/>
      <c r="GR217" s="133"/>
      <c r="GS217" s="133"/>
      <c r="GT217" s="133"/>
      <c r="GU217" s="133"/>
      <c r="GV217" s="133"/>
      <c r="GW217" s="133"/>
      <c r="GX217" s="133"/>
      <c r="GY217" s="133"/>
      <c r="GZ217" s="133"/>
      <c r="HA217" s="133"/>
      <c r="HB217" s="133"/>
      <c r="HC217" s="133"/>
      <c r="HD217" s="133"/>
      <c r="HE217" s="133"/>
      <c r="HF217" s="133"/>
      <c r="HG217" s="133"/>
      <c r="HH217" s="133"/>
      <c r="HI217" s="133"/>
      <c r="HJ217" s="133"/>
      <c r="HK217" s="133"/>
      <c r="HL217" s="133"/>
      <c r="HM217" s="133"/>
      <c r="HN217" s="133"/>
      <c r="HO217" s="133"/>
      <c r="HP217" s="133"/>
      <c r="HQ217" s="133"/>
      <c r="HR217" s="133"/>
      <c r="HS217" s="133"/>
      <c r="HT217" s="133"/>
      <c r="HU217" s="133"/>
      <c r="HV217" s="133"/>
      <c r="HW217" s="133"/>
      <c r="HX217" s="133"/>
      <c r="HY217" s="133"/>
      <c r="HZ217" s="133"/>
      <c r="IA217" s="133"/>
      <c r="IB217" s="133"/>
      <c r="IC217" s="133"/>
      <c r="ID217" s="133"/>
      <c r="IE217" s="133"/>
      <c r="IF217" s="133"/>
      <c r="IG217" s="133"/>
      <c r="IH217" s="133"/>
      <c r="II217" s="133"/>
      <c r="IJ217" s="133"/>
      <c r="IK217" s="133"/>
      <c r="IL217" s="133"/>
      <c r="IM217" s="133"/>
      <c r="IN217" s="133"/>
      <c r="IO217" s="133"/>
      <c r="IP217" s="133"/>
      <c r="IQ217" s="133"/>
      <c r="IR217" s="133"/>
      <c r="IS217" s="133"/>
      <c r="IT217" s="133"/>
      <c r="IU217" s="133"/>
      <c r="IV217" s="133"/>
    </row>
    <row r="218" spans="1:256" s="132" customFormat="1" ht="13.8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GE218" s="133"/>
      <c r="GF218" s="133"/>
      <c r="GG218" s="133"/>
      <c r="GH218" s="133"/>
      <c r="GI218" s="133"/>
      <c r="GJ218" s="133"/>
      <c r="GK218" s="133"/>
      <c r="GL218" s="133"/>
      <c r="GM218" s="133"/>
      <c r="GN218" s="133"/>
      <c r="GO218" s="133"/>
      <c r="GP218" s="133"/>
      <c r="GQ218" s="133"/>
      <c r="GR218" s="133"/>
      <c r="GS218" s="133"/>
      <c r="GT218" s="133"/>
      <c r="GU218" s="133"/>
      <c r="GV218" s="133"/>
      <c r="GW218" s="133"/>
      <c r="GX218" s="133"/>
      <c r="GY218" s="133"/>
      <c r="GZ218" s="133"/>
      <c r="HA218" s="133"/>
      <c r="HB218" s="133"/>
      <c r="HC218" s="133"/>
      <c r="HD218" s="133"/>
      <c r="HE218" s="133"/>
      <c r="HF218" s="133"/>
      <c r="HG218" s="133"/>
      <c r="HH218" s="133"/>
      <c r="HI218" s="133"/>
      <c r="HJ218" s="133"/>
      <c r="HK218" s="133"/>
      <c r="HL218" s="133"/>
      <c r="HM218" s="133"/>
      <c r="HN218" s="133"/>
      <c r="HO218" s="133"/>
      <c r="HP218" s="133"/>
      <c r="HQ218" s="133"/>
      <c r="HR218" s="133"/>
      <c r="HS218" s="133"/>
      <c r="HT218" s="133"/>
      <c r="HU218" s="133"/>
      <c r="HV218" s="133"/>
      <c r="HW218" s="133"/>
      <c r="HX218" s="133"/>
      <c r="HY218" s="133"/>
      <c r="HZ218" s="133"/>
      <c r="IA218" s="133"/>
      <c r="IB218" s="133"/>
      <c r="IC218" s="133"/>
      <c r="ID218" s="133"/>
      <c r="IE218" s="133"/>
      <c r="IF218" s="133"/>
      <c r="IG218" s="133"/>
      <c r="IH218" s="133"/>
      <c r="II218" s="133"/>
      <c r="IJ218" s="133"/>
      <c r="IK218" s="133"/>
      <c r="IL218" s="133"/>
      <c r="IM218" s="133"/>
      <c r="IN218" s="133"/>
      <c r="IO218" s="133"/>
      <c r="IP218" s="133"/>
      <c r="IQ218" s="133"/>
      <c r="IR218" s="133"/>
      <c r="IS218" s="133"/>
      <c r="IT218" s="133"/>
      <c r="IU218" s="133"/>
      <c r="IV218" s="133"/>
    </row>
    <row r="219" spans="1:256" s="132" customFormat="1" ht="13.8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GE219" s="133"/>
      <c r="GF219" s="133"/>
      <c r="GG219" s="133"/>
      <c r="GH219" s="133"/>
      <c r="GI219" s="133"/>
      <c r="GJ219" s="133"/>
      <c r="GK219" s="133"/>
      <c r="GL219" s="133"/>
      <c r="GM219" s="133"/>
      <c r="GN219" s="133"/>
      <c r="GO219" s="133"/>
      <c r="GP219" s="133"/>
      <c r="GQ219" s="133"/>
      <c r="GR219" s="133"/>
      <c r="GS219" s="133"/>
      <c r="GT219" s="133"/>
      <c r="GU219" s="133"/>
      <c r="GV219" s="133"/>
      <c r="GW219" s="133"/>
      <c r="GX219" s="133"/>
      <c r="GY219" s="133"/>
      <c r="GZ219" s="133"/>
      <c r="HA219" s="133"/>
      <c r="HB219" s="133"/>
      <c r="HC219" s="133"/>
      <c r="HD219" s="133"/>
      <c r="HE219" s="133"/>
      <c r="HF219" s="133"/>
      <c r="HG219" s="133"/>
      <c r="HH219" s="133"/>
      <c r="HI219" s="133"/>
      <c r="HJ219" s="133"/>
      <c r="HK219" s="133"/>
      <c r="HL219" s="133"/>
      <c r="HM219" s="133"/>
      <c r="HN219" s="133"/>
      <c r="HO219" s="133"/>
      <c r="HP219" s="133"/>
      <c r="HQ219" s="133"/>
      <c r="HR219" s="133"/>
      <c r="HS219" s="133"/>
      <c r="HT219" s="133"/>
      <c r="HU219" s="133"/>
      <c r="HV219" s="133"/>
      <c r="HW219" s="133"/>
      <c r="HX219" s="133"/>
      <c r="HY219" s="133"/>
      <c r="HZ219" s="133"/>
      <c r="IA219" s="133"/>
      <c r="IB219" s="133"/>
      <c r="IC219" s="133"/>
      <c r="ID219" s="133"/>
      <c r="IE219" s="133"/>
      <c r="IF219" s="133"/>
      <c r="IG219" s="133"/>
      <c r="IH219" s="133"/>
      <c r="II219" s="133"/>
      <c r="IJ219" s="133"/>
      <c r="IK219" s="133"/>
      <c r="IL219" s="133"/>
      <c r="IM219" s="133"/>
      <c r="IN219" s="133"/>
      <c r="IO219" s="133"/>
      <c r="IP219" s="133"/>
      <c r="IQ219" s="133"/>
      <c r="IR219" s="133"/>
      <c r="IS219" s="133"/>
      <c r="IT219" s="133"/>
      <c r="IU219" s="133"/>
      <c r="IV219" s="133"/>
    </row>
    <row r="220" spans="1:256" s="132" customFormat="1" ht="13.8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GE220" s="133"/>
      <c r="GF220" s="133"/>
      <c r="GG220" s="133"/>
      <c r="GH220" s="133"/>
      <c r="GI220" s="133"/>
      <c r="GJ220" s="133"/>
      <c r="GK220" s="133"/>
      <c r="GL220" s="133"/>
      <c r="GM220" s="133"/>
      <c r="GN220" s="133"/>
      <c r="GO220" s="133"/>
      <c r="GP220" s="133"/>
      <c r="GQ220" s="133"/>
      <c r="GR220" s="133"/>
      <c r="GS220" s="133"/>
      <c r="GT220" s="133"/>
      <c r="GU220" s="133"/>
      <c r="GV220" s="133"/>
      <c r="GW220" s="133"/>
      <c r="GX220" s="133"/>
      <c r="GY220" s="133"/>
      <c r="GZ220" s="133"/>
      <c r="HA220" s="133"/>
      <c r="HB220" s="133"/>
      <c r="HC220" s="133"/>
      <c r="HD220" s="133"/>
      <c r="HE220" s="133"/>
      <c r="HF220" s="133"/>
      <c r="HG220" s="133"/>
      <c r="HH220" s="133"/>
      <c r="HI220" s="133"/>
      <c r="HJ220" s="133"/>
      <c r="HK220" s="133"/>
      <c r="HL220" s="133"/>
      <c r="HM220" s="133"/>
      <c r="HN220" s="133"/>
      <c r="HO220" s="133"/>
      <c r="HP220" s="133"/>
      <c r="HQ220" s="133"/>
      <c r="HR220" s="133"/>
      <c r="HS220" s="133"/>
      <c r="HT220" s="133"/>
      <c r="HU220" s="133"/>
      <c r="HV220" s="133"/>
      <c r="HW220" s="133"/>
      <c r="HX220" s="133"/>
      <c r="HY220" s="133"/>
      <c r="HZ220" s="133"/>
      <c r="IA220" s="133"/>
      <c r="IB220" s="133"/>
      <c r="IC220" s="133"/>
      <c r="ID220" s="133"/>
      <c r="IE220" s="133"/>
      <c r="IF220" s="133"/>
      <c r="IG220" s="133"/>
      <c r="IH220" s="133"/>
      <c r="II220" s="133"/>
      <c r="IJ220" s="133"/>
      <c r="IK220" s="133"/>
      <c r="IL220" s="133"/>
      <c r="IM220" s="133"/>
      <c r="IN220" s="133"/>
      <c r="IO220" s="133"/>
      <c r="IP220" s="133"/>
      <c r="IQ220" s="133"/>
      <c r="IR220" s="133"/>
      <c r="IS220" s="133"/>
      <c r="IT220" s="133"/>
      <c r="IU220" s="133"/>
      <c r="IV220" s="133"/>
    </row>
    <row r="221" spans="1:256" s="132" customFormat="1" ht="13.8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GE221" s="133"/>
      <c r="GF221" s="133"/>
      <c r="GG221" s="133"/>
      <c r="GH221" s="133"/>
      <c r="GI221" s="133"/>
      <c r="GJ221" s="133"/>
      <c r="GK221" s="133"/>
      <c r="GL221" s="133"/>
      <c r="GM221" s="133"/>
      <c r="GN221" s="133"/>
      <c r="GO221" s="133"/>
      <c r="GP221" s="133"/>
      <c r="GQ221" s="133"/>
      <c r="GR221" s="133"/>
      <c r="GS221" s="133"/>
      <c r="GT221" s="133"/>
      <c r="GU221" s="133"/>
      <c r="GV221" s="133"/>
      <c r="GW221" s="133"/>
      <c r="GX221" s="133"/>
      <c r="GY221" s="133"/>
      <c r="GZ221" s="133"/>
      <c r="HA221" s="133"/>
      <c r="HB221" s="133"/>
      <c r="HC221" s="133"/>
      <c r="HD221" s="133"/>
      <c r="HE221" s="133"/>
      <c r="HF221" s="133"/>
      <c r="HG221" s="133"/>
      <c r="HH221" s="133"/>
      <c r="HI221" s="133"/>
      <c r="HJ221" s="133"/>
      <c r="HK221" s="133"/>
      <c r="HL221" s="133"/>
      <c r="HM221" s="133"/>
      <c r="HN221" s="133"/>
      <c r="HO221" s="133"/>
      <c r="HP221" s="133"/>
      <c r="HQ221" s="133"/>
      <c r="HR221" s="133"/>
      <c r="HS221" s="133"/>
      <c r="HT221" s="133"/>
      <c r="HU221" s="133"/>
      <c r="HV221" s="133"/>
      <c r="HW221" s="133"/>
      <c r="HX221" s="133"/>
      <c r="HY221" s="133"/>
      <c r="HZ221" s="133"/>
      <c r="IA221" s="133"/>
      <c r="IB221" s="133"/>
      <c r="IC221" s="133"/>
      <c r="ID221" s="133"/>
      <c r="IE221" s="133"/>
      <c r="IF221" s="133"/>
      <c r="IG221" s="133"/>
      <c r="IH221" s="133"/>
      <c r="II221" s="133"/>
      <c r="IJ221" s="133"/>
      <c r="IK221" s="133"/>
      <c r="IL221" s="133"/>
      <c r="IM221" s="133"/>
      <c r="IN221" s="133"/>
      <c r="IO221" s="133"/>
      <c r="IP221" s="133"/>
      <c r="IQ221" s="133"/>
      <c r="IR221" s="133"/>
      <c r="IS221" s="133"/>
      <c r="IT221" s="133"/>
      <c r="IU221" s="133"/>
      <c r="IV221" s="133"/>
    </row>
    <row r="222" spans="1:256" s="132" customFormat="1" ht="13.8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GE222" s="133"/>
      <c r="GF222" s="133"/>
      <c r="GG222" s="133"/>
      <c r="GH222" s="133"/>
      <c r="GI222" s="133"/>
      <c r="GJ222" s="133"/>
      <c r="GK222" s="133"/>
      <c r="GL222" s="133"/>
      <c r="GM222" s="133"/>
      <c r="GN222" s="133"/>
      <c r="GO222" s="133"/>
      <c r="GP222" s="133"/>
      <c r="GQ222" s="133"/>
      <c r="GR222" s="133"/>
      <c r="GS222" s="133"/>
      <c r="GT222" s="133"/>
      <c r="GU222" s="133"/>
      <c r="GV222" s="133"/>
      <c r="GW222" s="133"/>
      <c r="GX222" s="133"/>
      <c r="GY222" s="133"/>
      <c r="GZ222" s="133"/>
      <c r="HA222" s="133"/>
      <c r="HB222" s="133"/>
      <c r="HC222" s="133"/>
      <c r="HD222" s="133"/>
      <c r="HE222" s="133"/>
      <c r="HF222" s="133"/>
      <c r="HG222" s="133"/>
      <c r="HH222" s="133"/>
      <c r="HI222" s="133"/>
      <c r="HJ222" s="133"/>
      <c r="HK222" s="133"/>
      <c r="HL222" s="133"/>
      <c r="HM222" s="133"/>
      <c r="HN222" s="133"/>
      <c r="HO222" s="133"/>
      <c r="HP222" s="133"/>
      <c r="HQ222" s="133"/>
      <c r="HR222" s="133"/>
      <c r="HS222" s="133"/>
      <c r="HT222" s="133"/>
      <c r="HU222" s="133"/>
      <c r="HV222" s="133"/>
      <c r="HW222" s="133"/>
      <c r="HX222" s="133"/>
      <c r="HY222" s="133"/>
      <c r="HZ222" s="133"/>
      <c r="IA222" s="133"/>
      <c r="IB222" s="133"/>
      <c r="IC222" s="133"/>
      <c r="ID222" s="133"/>
      <c r="IE222" s="133"/>
      <c r="IF222" s="133"/>
      <c r="IG222" s="133"/>
      <c r="IH222" s="133"/>
      <c r="II222" s="133"/>
      <c r="IJ222" s="133"/>
      <c r="IK222" s="133"/>
      <c r="IL222" s="133"/>
      <c r="IM222" s="133"/>
      <c r="IN222" s="133"/>
      <c r="IO222" s="133"/>
      <c r="IP222" s="133"/>
      <c r="IQ222" s="133"/>
      <c r="IR222" s="133"/>
      <c r="IS222" s="133"/>
      <c r="IT222" s="133"/>
      <c r="IU222" s="133"/>
      <c r="IV222" s="133"/>
    </row>
    <row r="223" spans="1:256" s="132" customFormat="1" ht="13.8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GE223" s="133"/>
      <c r="GF223" s="133"/>
      <c r="GG223" s="133"/>
      <c r="GH223" s="133"/>
      <c r="GI223" s="133"/>
      <c r="GJ223" s="133"/>
      <c r="GK223" s="133"/>
      <c r="GL223" s="133"/>
      <c r="GM223" s="133"/>
      <c r="GN223" s="133"/>
      <c r="GO223" s="133"/>
      <c r="GP223" s="133"/>
      <c r="GQ223" s="133"/>
      <c r="GR223" s="133"/>
      <c r="GS223" s="133"/>
      <c r="GT223" s="133"/>
      <c r="GU223" s="133"/>
      <c r="GV223" s="133"/>
      <c r="GW223" s="133"/>
      <c r="GX223" s="133"/>
      <c r="GY223" s="133"/>
      <c r="GZ223" s="133"/>
      <c r="HA223" s="133"/>
      <c r="HB223" s="133"/>
      <c r="HC223" s="133"/>
      <c r="HD223" s="133"/>
      <c r="HE223" s="133"/>
      <c r="HF223" s="133"/>
      <c r="HG223" s="133"/>
      <c r="HH223" s="133"/>
      <c r="HI223" s="133"/>
      <c r="HJ223" s="133"/>
      <c r="HK223" s="133"/>
      <c r="HL223" s="133"/>
      <c r="HM223" s="133"/>
      <c r="HN223" s="133"/>
      <c r="HO223" s="133"/>
      <c r="HP223" s="133"/>
      <c r="HQ223" s="133"/>
      <c r="HR223" s="133"/>
      <c r="HS223" s="133"/>
      <c r="HT223" s="133"/>
      <c r="HU223" s="133"/>
      <c r="HV223" s="133"/>
      <c r="HW223" s="133"/>
      <c r="HX223" s="133"/>
      <c r="HY223" s="133"/>
      <c r="HZ223" s="133"/>
      <c r="IA223" s="133"/>
      <c r="IB223" s="133"/>
      <c r="IC223" s="133"/>
      <c r="ID223" s="133"/>
      <c r="IE223" s="133"/>
      <c r="IF223" s="133"/>
      <c r="IG223" s="133"/>
      <c r="IH223" s="133"/>
      <c r="II223" s="133"/>
      <c r="IJ223" s="133"/>
      <c r="IK223" s="133"/>
      <c r="IL223" s="133"/>
      <c r="IM223" s="133"/>
      <c r="IN223" s="133"/>
      <c r="IO223" s="133"/>
      <c r="IP223" s="133"/>
      <c r="IQ223" s="133"/>
      <c r="IR223" s="133"/>
      <c r="IS223" s="133"/>
      <c r="IT223" s="133"/>
      <c r="IU223" s="133"/>
      <c r="IV223" s="133"/>
    </row>
    <row r="224" spans="1:256" s="132" customFormat="1" ht="13.8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GE224" s="133"/>
      <c r="GF224" s="133"/>
      <c r="GG224" s="133"/>
      <c r="GH224" s="133"/>
      <c r="GI224" s="133"/>
      <c r="GJ224" s="133"/>
      <c r="GK224" s="133"/>
      <c r="GL224" s="133"/>
      <c r="GM224" s="133"/>
      <c r="GN224" s="133"/>
      <c r="GO224" s="133"/>
      <c r="GP224" s="133"/>
      <c r="GQ224" s="133"/>
      <c r="GR224" s="133"/>
      <c r="GS224" s="133"/>
      <c r="GT224" s="133"/>
      <c r="GU224" s="133"/>
      <c r="GV224" s="133"/>
      <c r="GW224" s="133"/>
      <c r="GX224" s="133"/>
      <c r="GY224" s="133"/>
      <c r="GZ224" s="133"/>
      <c r="HA224" s="133"/>
      <c r="HB224" s="133"/>
      <c r="HC224" s="133"/>
      <c r="HD224" s="133"/>
      <c r="HE224" s="133"/>
      <c r="HF224" s="133"/>
      <c r="HG224" s="133"/>
      <c r="HH224" s="133"/>
      <c r="HI224" s="133"/>
      <c r="HJ224" s="133"/>
      <c r="HK224" s="133"/>
      <c r="HL224" s="133"/>
      <c r="HM224" s="133"/>
      <c r="HN224" s="133"/>
      <c r="HO224" s="133"/>
      <c r="HP224" s="133"/>
      <c r="HQ224" s="133"/>
      <c r="HR224" s="133"/>
      <c r="HS224" s="133"/>
      <c r="HT224" s="133"/>
      <c r="HU224" s="133"/>
      <c r="HV224" s="133"/>
      <c r="HW224" s="133"/>
      <c r="HX224" s="133"/>
      <c r="HY224" s="133"/>
      <c r="HZ224" s="133"/>
      <c r="IA224" s="133"/>
      <c r="IB224" s="133"/>
      <c r="IC224" s="133"/>
      <c r="ID224" s="133"/>
      <c r="IE224" s="133"/>
      <c r="IF224" s="133"/>
      <c r="IG224" s="133"/>
      <c r="IH224" s="133"/>
      <c r="II224" s="133"/>
      <c r="IJ224" s="133"/>
      <c r="IK224" s="133"/>
      <c r="IL224" s="133"/>
      <c r="IM224" s="133"/>
      <c r="IN224" s="133"/>
      <c r="IO224" s="133"/>
      <c r="IP224" s="133"/>
      <c r="IQ224" s="133"/>
      <c r="IR224" s="133"/>
      <c r="IS224" s="133"/>
      <c r="IT224" s="133"/>
      <c r="IU224" s="133"/>
      <c r="IV224" s="133"/>
    </row>
    <row r="225" spans="1:256" s="132" customFormat="1" ht="13.8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GE225" s="133"/>
      <c r="GF225" s="133"/>
      <c r="GG225" s="133"/>
      <c r="GH225" s="133"/>
      <c r="GI225" s="133"/>
      <c r="GJ225" s="133"/>
      <c r="GK225" s="133"/>
      <c r="GL225" s="133"/>
      <c r="GM225" s="133"/>
      <c r="GN225" s="133"/>
      <c r="GO225" s="133"/>
      <c r="GP225" s="133"/>
      <c r="GQ225" s="133"/>
      <c r="GR225" s="133"/>
      <c r="GS225" s="133"/>
      <c r="GT225" s="133"/>
      <c r="GU225" s="133"/>
      <c r="GV225" s="133"/>
      <c r="GW225" s="133"/>
      <c r="GX225" s="133"/>
      <c r="GY225" s="133"/>
      <c r="GZ225" s="133"/>
      <c r="HA225" s="133"/>
      <c r="HB225" s="133"/>
      <c r="HC225" s="133"/>
      <c r="HD225" s="133"/>
      <c r="HE225" s="133"/>
      <c r="HF225" s="133"/>
      <c r="HG225" s="133"/>
      <c r="HH225" s="133"/>
      <c r="HI225" s="133"/>
      <c r="HJ225" s="133"/>
      <c r="HK225" s="133"/>
      <c r="HL225" s="133"/>
      <c r="HM225" s="133"/>
      <c r="HN225" s="133"/>
      <c r="HO225" s="133"/>
      <c r="HP225" s="133"/>
      <c r="HQ225" s="133"/>
      <c r="HR225" s="133"/>
      <c r="HS225" s="133"/>
      <c r="HT225" s="133"/>
      <c r="HU225" s="133"/>
      <c r="HV225" s="133"/>
      <c r="HW225" s="133"/>
      <c r="HX225" s="133"/>
      <c r="HY225" s="133"/>
      <c r="HZ225" s="133"/>
      <c r="IA225" s="133"/>
      <c r="IB225" s="133"/>
      <c r="IC225" s="133"/>
      <c r="ID225" s="133"/>
      <c r="IE225" s="133"/>
      <c r="IF225" s="133"/>
      <c r="IG225" s="133"/>
      <c r="IH225" s="133"/>
      <c r="II225" s="133"/>
      <c r="IJ225" s="133"/>
      <c r="IK225" s="133"/>
      <c r="IL225" s="133"/>
      <c r="IM225" s="133"/>
      <c r="IN225" s="133"/>
      <c r="IO225" s="133"/>
      <c r="IP225" s="133"/>
      <c r="IQ225" s="133"/>
      <c r="IR225" s="133"/>
      <c r="IS225" s="133"/>
      <c r="IT225" s="133"/>
      <c r="IU225" s="133"/>
      <c r="IV225" s="133"/>
    </row>
    <row r="226" spans="1:256" s="132" customFormat="1" ht="13.8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GE226" s="133"/>
      <c r="GF226" s="133"/>
      <c r="GG226" s="133"/>
      <c r="GH226" s="133"/>
      <c r="GI226" s="133"/>
      <c r="GJ226" s="133"/>
      <c r="GK226" s="133"/>
      <c r="GL226" s="133"/>
      <c r="GM226" s="133"/>
      <c r="GN226" s="133"/>
      <c r="GO226" s="133"/>
      <c r="GP226" s="133"/>
      <c r="GQ226" s="133"/>
      <c r="GR226" s="133"/>
      <c r="GS226" s="133"/>
      <c r="GT226" s="133"/>
      <c r="GU226" s="133"/>
      <c r="GV226" s="133"/>
      <c r="GW226" s="133"/>
      <c r="GX226" s="133"/>
      <c r="GY226" s="133"/>
      <c r="GZ226" s="133"/>
      <c r="HA226" s="133"/>
      <c r="HB226" s="133"/>
      <c r="HC226" s="133"/>
      <c r="HD226" s="133"/>
      <c r="HE226" s="133"/>
      <c r="HF226" s="133"/>
      <c r="HG226" s="133"/>
      <c r="HH226" s="133"/>
      <c r="HI226" s="133"/>
      <c r="HJ226" s="133"/>
      <c r="HK226" s="133"/>
      <c r="HL226" s="133"/>
      <c r="HM226" s="133"/>
      <c r="HN226" s="133"/>
      <c r="HO226" s="133"/>
      <c r="HP226" s="133"/>
      <c r="HQ226" s="133"/>
      <c r="HR226" s="133"/>
      <c r="HS226" s="133"/>
      <c r="HT226" s="133"/>
      <c r="HU226" s="133"/>
      <c r="HV226" s="133"/>
      <c r="HW226" s="133"/>
      <c r="HX226" s="133"/>
      <c r="HY226" s="133"/>
      <c r="HZ226" s="133"/>
      <c r="IA226" s="133"/>
      <c r="IB226" s="133"/>
      <c r="IC226" s="133"/>
      <c r="ID226" s="133"/>
      <c r="IE226" s="133"/>
      <c r="IF226" s="133"/>
      <c r="IG226" s="133"/>
      <c r="IH226" s="133"/>
      <c r="II226" s="133"/>
      <c r="IJ226" s="133"/>
      <c r="IK226" s="133"/>
      <c r="IL226" s="133"/>
      <c r="IM226" s="133"/>
      <c r="IN226" s="133"/>
      <c r="IO226" s="133"/>
      <c r="IP226" s="133"/>
      <c r="IQ226" s="133"/>
      <c r="IR226" s="133"/>
      <c r="IS226" s="133"/>
      <c r="IT226" s="133"/>
      <c r="IU226" s="133"/>
      <c r="IV226" s="133"/>
    </row>
    <row r="227" spans="1:256" s="132" customFormat="1" ht="13.8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GE227" s="133"/>
      <c r="GF227" s="133"/>
      <c r="GG227" s="133"/>
      <c r="GH227" s="133"/>
      <c r="GI227" s="133"/>
      <c r="GJ227" s="133"/>
      <c r="GK227" s="133"/>
      <c r="GL227" s="133"/>
      <c r="GM227" s="133"/>
      <c r="GN227" s="133"/>
      <c r="GO227" s="133"/>
      <c r="GP227" s="133"/>
      <c r="GQ227" s="133"/>
      <c r="GR227" s="133"/>
      <c r="GS227" s="133"/>
      <c r="GT227" s="133"/>
      <c r="GU227" s="133"/>
      <c r="GV227" s="133"/>
      <c r="GW227" s="133"/>
      <c r="GX227" s="133"/>
      <c r="GY227" s="133"/>
      <c r="GZ227" s="133"/>
      <c r="HA227" s="133"/>
      <c r="HB227" s="133"/>
      <c r="HC227" s="133"/>
      <c r="HD227" s="133"/>
      <c r="HE227" s="133"/>
      <c r="HF227" s="133"/>
      <c r="HG227" s="133"/>
      <c r="HH227" s="133"/>
      <c r="HI227" s="133"/>
      <c r="HJ227" s="133"/>
      <c r="HK227" s="133"/>
      <c r="HL227" s="133"/>
      <c r="HM227" s="133"/>
      <c r="HN227" s="133"/>
      <c r="HO227" s="133"/>
      <c r="HP227" s="133"/>
      <c r="HQ227" s="133"/>
      <c r="HR227" s="133"/>
      <c r="HS227" s="133"/>
      <c r="HT227" s="133"/>
      <c r="HU227" s="133"/>
      <c r="HV227" s="133"/>
      <c r="HW227" s="133"/>
      <c r="HX227" s="133"/>
      <c r="HY227" s="133"/>
      <c r="HZ227" s="133"/>
      <c r="IA227" s="133"/>
      <c r="IB227" s="133"/>
      <c r="IC227" s="133"/>
      <c r="ID227" s="133"/>
      <c r="IE227" s="133"/>
      <c r="IF227" s="133"/>
      <c r="IG227" s="133"/>
      <c r="IH227" s="133"/>
      <c r="II227" s="133"/>
      <c r="IJ227" s="133"/>
      <c r="IK227" s="133"/>
      <c r="IL227" s="133"/>
      <c r="IM227" s="133"/>
      <c r="IN227" s="133"/>
      <c r="IO227" s="133"/>
      <c r="IP227" s="133"/>
      <c r="IQ227" s="133"/>
      <c r="IR227" s="133"/>
      <c r="IS227" s="133"/>
      <c r="IT227" s="133"/>
      <c r="IU227" s="133"/>
      <c r="IV227" s="133"/>
    </row>
    <row r="228" spans="1:256" s="132" customFormat="1" ht="13.8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GE228" s="133"/>
      <c r="GF228" s="133"/>
      <c r="GG228" s="133"/>
      <c r="GH228" s="133"/>
      <c r="GI228" s="133"/>
      <c r="GJ228" s="133"/>
      <c r="GK228" s="133"/>
      <c r="GL228" s="133"/>
      <c r="GM228" s="133"/>
      <c r="GN228" s="133"/>
      <c r="GO228" s="133"/>
      <c r="GP228" s="133"/>
      <c r="GQ228" s="133"/>
      <c r="GR228" s="133"/>
      <c r="GS228" s="133"/>
      <c r="GT228" s="133"/>
      <c r="GU228" s="133"/>
      <c r="GV228" s="133"/>
      <c r="GW228" s="133"/>
      <c r="GX228" s="133"/>
      <c r="GY228" s="133"/>
      <c r="GZ228" s="133"/>
      <c r="HA228" s="133"/>
      <c r="HB228" s="133"/>
      <c r="HC228" s="133"/>
      <c r="HD228" s="133"/>
      <c r="HE228" s="133"/>
      <c r="HF228" s="133"/>
      <c r="HG228" s="133"/>
      <c r="HH228" s="133"/>
      <c r="HI228" s="133"/>
      <c r="HJ228" s="133"/>
      <c r="HK228" s="133"/>
      <c r="HL228" s="133"/>
      <c r="HM228" s="133"/>
      <c r="HN228" s="133"/>
      <c r="HO228" s="133"/>
      <c r="HP228" s="133"/>
      <c r="HQ228" s="133"/>
      <c r="HR228" s="133"/>
      <c r="HS228" s="133"/>
      <c r="HT228" s="133"/>
      <c r="HU228" s="133"/>
      <c r="HV228" s="133"/>
      <c r="HW228" s="133"/>
      <c r="HX228" s="133"/>
      <c r="HY228" s="133"/>
      <c r="HZ228" s="133"/>
      <c r="IA228" s="133"/>
      <c r="IB228" s="133"/>
      <c r="IC228" s="133"/>
      <c r="ID228" s="133"/>
      <c r="IE228" s="133"/>
      <c r="IF228" s="133"/>
      <c r="IG228" s="133"/>
      <c r="IH228" s="133"/>
      <c r="II228" s="133"/>
      <c r="IJ228" s="133"/>
      <c r="IK228" s="133"/>
      <c r="IL228" s="133"/>
      <c r="IM228" s="133"/>
      <c r="IN228" s="133"/>
      <c r="IO228" s="133"/>
      <c r="IP228" s="133"/>
      <c r="IQ228" s="133"/>
      <c r="IR228" s="133"/>
      <c r="IS228" s="133"/>
      <c r="IT228" s="133"/>
      <c r="IU228" s="133"/>
      <c r="IV228" s="133"/>
    </row>
    <row r="229" spans="1:256" s="132" customFormat="1" ht="13.8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GE229" s="133"/>
      <c r="GF229" s="133"/>
      <c r="GG229" s="133"/>
      <c r="GH229" s="133"/>
      <c r="GI229" s="133"/>
      <c r="GJ229" s="133"/>
      <c r="GK229" s="133"/>
      <c r="GL229" s="133"/>
      <c r="GM229" s="133"/>
      <c r="GN229" s="133"/>
      <c r="GO229" s="133"/>
      <c r="GP229" s="133"/>
      <c r="GQ229" s="133"/>
      <c r="GR229" s="133"/>
      <c r="GS229" s="133"/>
      <c r="GT229" s="133"/>
      <c r="GU229" s="133"/>
      <c r="GV229" s="133"/>
      <c r="GW229" s="133"/>
      <c r="GX229" s="133"/>
      <c r="GY229" s="133"/>
      <c r="GZ229" s="133"/>
      <c r="HA229" s="133"/>
      <c r="HB229" s="133"/>
      <c r="HC229" s="133"/>
      <c r="HD229" s="133"/>
      <c r="HE229" s="133"/>
      <c r="HF229" s="133"/>
      <c r="HG229" s="133"/>
      <c r="HH229" s="133"/>
      <c r="HI229" s="133"/>
      <c r="HJ229" s="133"/>
      <c r="HK229" s="133"/>
      <c r="HL229" s="133"/>
      <c r="HM229" s="133"/>
      <c r="HN229" s="133"/>
      <c r="HO229" s="133"/>
      <c r="HP229" s="133"/>
      <c r="HQ229" s="133"/>
      <c r="HR229" s="133"/>
      <c r="HS229" s="133"/>
      <c r="HT229" s="133"/>
      <c r="HU229" s="133"/>
      <c r="HV229" s="133"/>
      <c r="HW229" s="133"/>
      <c r="HX229" s="133"/>
      <c r="HY229" s="133"/>
      <c r="HZ229" s="133"/>
      <c r="IA229" s="133"/>
      <c r="IB229" s="133"/>
      <c r="IC229" s="133"/>
      <c r="ID229" s="133"/>
      <c r="IE229" s="133"/>
      <c r="IF229" s="133"/>
      <c r="IG229" s="133"/>
      <c r="IH229" s="133"/>
      <c r="II229" s="133"/>
      <c r="IJ229" s="133"/>
      <c r="IK229" s="133"/>
      <c r="IL229" s="133"/>
      <c r="IM229" s="133"/>
      <c r="IN229" s="133"/>
      <c r="IO229" s="133"/>
      <c r="IP229" s="133"/>
      <c r="IQ229" s="133"/>
      <c r="IR229" s="133"/>
      <c r="IS229" s="133"/>
      <c r="IT229" s="133"/>
      <c r="IU229" s="133"/>
      <c r="IV229" s="133"/>
    </row>
    <row r="230" spans="1:256" s="132" customFormat="1" ht="13.8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GE230" s="133"/>
      <c r="GF230" s="133"/>
      <c r="GG230" s="133"/>
      <c r="GH230" s="133"/>
      <c r="GI230" s="133"/>
      <c r="GJ230" s="133"/>
      <c r="GK230" s="133"/>
      <c r="GL230" s="133"/>
      <c r="GM230" s="133"/>
      <c r="GN230" s="133"/>
      <c r="GO230" s="133"/>
      <c r="GP230" s="133"/>
      <c r="GQ230" s="133"/>
      <c r="GR230" s="133"/>
      <c r="GS230" s="133"/>
      <c r="GT230" s="133"/>
      <c r="GU230" s="133"/>
      <c r="GV230" s="133"/>
      <c r="GW230" s="133"/>
      <c r="GX230" s="133"/>
      <c r="GY230" s="133"/>
      <c r="GZ230" s="133"/>
      <c r="HA230" s="133"/>
      <c r="HB230" s="133"/>
      <c r="HC230" s="133"/>
      <c r="HD230" s="133"/>
      <c r="HE230" s="133"/>
      <c r="HF230" s="133"/>
      <c r="HG230" s="133"/>
      <c r="HH230" s="133"/>
      <c r="HI230" s="133"/>
      <c r="HJ230" s="133"/>
      <c r="HK230" s="133"/>
      <c r="HL230" s="133"/>
      <c r="HM230" s="133"/>
      <c r="HN230" s="133"/>
      <c r="HO230" s="133"/>
      <c r="HP230" s="133"/>
      <c r="HQ230" s="133"/>
      <c r="HR230" s="133"/>
      <c r="HS230" s="133"/>
      <c r="HT230" s="133"/>
      <c r="HU230" s="133"/>
      <c r="HV230" s="133"/>
      <c r="HW230" s="133"/>
      <c r="HX230" s="133"/>
      <c r="HY230" s="133"/>
      <c r="HZ230" s="133"/>
      <c r="IA230" s="133"/>
      <c r="IB230" s="133"/>
      <c r="IC230" s="133"/>
      <c r="ID230" s="133"/>
      <c r="IE230" s="133"/>
      <c r="IF230" s="133"/>
      <c r="IG230" s="133"/>
      <c r="IH230" s="133"/>
      <c r="II230" s="133"/>
      <c r="IJ230" s="133"/>
      <c r="IK230" s="133"/>
      <c r="IL230" s="133"/>
      <c r="IM230" s="133"/>
      <c r="IN230" s="133"/>
      <c r="IO230" s="133"/>
      <c r="IP230" s="133"/>
      <c r="IQ230" s="133"/>
      <c r="IR230" s="133"/>
      <c r="IS230" s="133"/>
      <c r="IT230" s="133"/>
      <c r="IU230" s="133"/>
      <c r="IV230" s="133"/>
    </row>
    <row r="231" spans="1:256" s="132" customFormat="1" ht="13.8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GE231" s="133"/>
      <c r="GF231" s="133"/>
      <c r="GG231" s="133"/>
      <c r="GH231" s="133"/>
      <c r="GI231" s="133"/>
      <c r="GJ231" s="133"/>
      <c r="GK231" s="133"/>
      <c r="GL231" s="133"/>
      <c r="GM231" s="133"/>
      <c r="GN231" s="133"/>
      <c r="GO231" s="133"/>
      <c r="GP231" s="133"/>
      <c r="GQ231" s="133"/>
      <c r="GR231" s="133"/>
      <c r="GS231" s="133"/>
      <c r="GT231" s="133"/>
      <c r="GU231" s="133"/>
      <c r="GV231" s="133"/>
      <c r="GW231" s="133"/>
      <c r="GX231" s="133"/>
      <c r="GY231" s="133"/>
      <c r="GZ231" s="133"/>
      <c r="HA231" s="133"/>
      <c r="HB231" s="133"/>
      <c r="HC231" s="133"/>
      <c r="HD231" s="133"/>
      <c r="HE231" s="133"/>
      <c r="HF231" s="133"/>
      <c r="HG231" s="133"/>
      <c r="HH231" s="133"/>
      <c r="HI231" s="133"/>
      <c r="HJ231" s="133"/>
      <c r="HK231" s="133"/>
      <c r="HL231" s="133"/>
      <c r="HM231" s="133"/>
      <c r="HN231" s="133"/>
      <c r="HO231" s="133"/>
      <c r="HP231" s="133"/>
      <c r="HQ231" s="133"/>
      <c r="HR231" s="133"/>
      <c r="HS231" s="133"/>
      <c r="HT231" s="133"/>
      <c r="HU231" s="133"/>
      <c r="HV231" s="133"/>
      <c r="HW231" s="133"/>
      <c r="HX231" s="133"/>
      <c r="HY231" s="133"/>
      <c r="HZ231" s="133"/>
      <c r="IA231" s="133"/>
      <c r="IB231" s="133"/>
      <c r="IC231" s="133"/>
      <c r="ID231" s="133"/>
      <c r="IE231" s="133"/>
      <c r="IF231" s="133"/>
      <c r="IG231" s="133"/>
      <c r="IH231" s="133"/>
      <c r="II231" s="133"/>
      <c r="IJ231" s="133"/>
      <c r="IK231" s="133"/>
      <c r="IL231" s="133"/>
      <c r="IM231" s="133"/>
      <c r="IN231" s="133"/>
      <c r="IO231" s="133"/>
      <c r="IP231" s="133"/>
      <c r="IQ231" s="133"/>
      <c r="IR231" s="133"/>
      <c r="IS231" s="133"/>
      <c r="IT231" s="133"/>
      <c r="IU231" s="133"/>
      <c r="IV231" s="133"/>
    </row>
    <row r="232" spans="1:256" s="132" customFormat="1" ht="13.8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GE232" s="133"/>
      <c r="GF232" s="133"/>
      <c r="GG232" s="133"/>
      <c r="GH232" s="133"/>
      <c r="GI232" s="133"/>
      <c r="GJ232" s="133"/>
      <c r="GK232" s="133"/>
      <c r="GL232" s="133"/>
      <c r="GM232" s="133"/>
      <c r="GN232" s="133"/>
      <c r="GO232" s="133"/>
      <c r="GP232" s="133"/>
      <c r="GQ232" s="133"/>
      <c r="GR232" s="133"/>
      <c r="GS232" s="133"/>
      <c r="GT232" s="133"/>
      <c r="GU232" s="133"/>
      <c r="GV232" s="133"/>
      <c r="GW232" s="133"/>
      <c r="GX232" s="133"/>
      <c r="GY232" s="133"/>
      <c r="GZ232" s="133"/>
      <c r="HA232" s="133"/>
      <c r="HB232" s="133"/>
      <c r="HC232" s="133"/>
      <c r="HD232" s="133"/>
      <c r="HE232" s="133"/>
      <c r="HF232" s="133"/>
      <c r="HG232" s="133"/>
      <c r="HH232" s="133"/>
      <c r="HI232" s="133"/>
      <c r="HJ232" s="133"/>
      <c r="HK232" s="133"/>
      <c r="HL232" s="133"/>
      <c r="HM232" s="133"/>
      <c r="HN232" s="133"/>
      <c r="HO232" s="133"/>
      <c r="HP232" s="133"/>
      <c r="HQ232" s="133"/>
      <c r="HR232" s="133"/>
      <c r="HS232" s="133"/>
      <c r="HT232" s="133"/>
      <c r="HU232" s="133"/>
      <c r="HV232" s="133"/>
      <c r="HW232" s="133"/>
      <c r="HX232" s="133"/>
      <c r="HY232" s="133"/>
      <c r="HZ232" s="133"/>
      <c r="IA232" s="133"/>
      <c r="IB232" s="133"/>
      <c r="IC232" s="133"/>
      <c r="ID232" s="133"/>
      <c r="IE232" s="133"/>
      <c r="IF232" s="133"/>
      <c r="IG232" s="133"/>
      <c r="IH232" s="133"/>
      <c r="II232" s="133"/>
      <c r="IJ232" s="133"/>
      <c r="IK232" s="133"/>
      <c r="IL232" s="133"/>
      <c r="IM232" s="133"/>
      <c r="IN232" s="133"/>
      <c r="IO232" s="133"/>
      <c r="IP232" s="133"/>
      <c r="IQ232" s="133"/>
      <c r="IR232" s="133"/>
      <c r="IS232" s="133"/>
      <c r="IT232" s="133"/>
      <c r="IU232" s="133"/>
      <c r="IV232" s="133"/>
    </row>
    <row r="233" spans="1:256" s="132" customFormat="1" ht="13.8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GE233" s="133"/>
      <c r="GF233" s="133"/>
      <c r="GG233" s="133"/>
      <c r="GH233" s="133"/>
      <c r="GI233" s="133"/>
      <c r="GJ233" s="133"/>
      <c r="GK233" s="133"/>
      <c r="GL233" s="133"/>
      <c r="GM233" s="133"/>
      <c r="GN233" s="133"/>
      <c r="GO233" s="133"/>
      <c r="GP233" s="133"/>
      <c r="GQ233" s="133"/>
      <c r="GR233" s="133"/>
      <c r="GS233" s="133"/>
      <c r="GT233" s="133"/>
      <c r="GU233" s="133"/>
      <c r="GV233" s="133"/>
      <c r="GW233" s="133"/>
      <c r="GX233" s="133"/>
      <c r="GY233" s="133"/>
      <c r="GZ233" s="133"/>
      <c r="HA233" s="133"/>
      <c r="HB233" s="133"/>
      <c r="HC233" s="133"/>
      <c r="HD233" s="133"/>
      <c r="HE233" s="133"/>
      <c r="HF233" s="133"/>
      <c r="HG233" s="133"/>
      <c r="HH233" s="133"/>
      <c r="HI233" s="133"/>
      <c r="HJ233" s="133"/>
      <c r="HK233" s="133"/>
      <c r="HL233" s="133"/>
      <c r="HM233" s="133"/>
      <c r="HN233" s="133"/>
      <c r="HO233" s="133"/>
      <c r="HP233" s="133"/>
      <c r="HQ233" s="133"/>
      <c r="HR233" s="133"/>
      <c r="HS233" s="133"/>
      <c r="HT233" s="133"/>
      <c r="HU233" s="133"/>
      <c r="HV233" s="133"/>
      <c r="HW233" s="133"/>
      <c r="HX233" s="133"/>
      <c r="HY233" s="133"/>
      <c r="HZ233" s="133"/>
      <c r="IA233" s="133"/>
      <c r="IB233" s="133"/>
      <c r="IC233" s="133"/>
      <c r="ID233" s="133"/>
      <c r="IE233" s="133"/>
      <c r="IF233" s="133"/>
      <c r="IG233" s="133"/>
      <c r="IH233" s="133"/>
      <c r="II233" s="133"/>
      <c r="IJ233" s="133"/>
      <c r="IK233" s="133"/>
      <c r="IL233" s="133"/>
      <c r="IM233" s="133"/>
      <c r="IN233" s="133"/>
      <c r="IO233" s="133"/>
      <c r="IP233" s="133"/>
      <c r="IQ233" s="133"/>
      <c r="IR233" s="133"/>
      <c r="IS233" s="133"/>
      <c r="IT233" s="133"/>
      <c r="IU233" s="133"/>
      <c r="IV233" s="133"/>
    </row>
    <row r="234" spans="1:256" s="132" customFormat="1" ht="13.8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GE234" s="133"/>
      <c r="GF234" s="133"/>
      <c r="GG234" s="133"/>
      <c r="GH234" s="133"/>
      <c r="GI234" s="133"/>
      <c r="GJ234" s="133"/>
      <c r="GK234" s="133"/>
      <c r="GL234" s="133"/>
      <c r="GM234" s="133"/>
      <c r="GN234" s="133"/>
      <c r="GO234" s="133"/>
      <c r="GP234" s="133"/>
      <c r="GQ234" s="133"/>
      <c r="GR234" s="133"/>
      <c r="GS234" s="133"/>
      <c r="GT234" s="133"/>
      <c r="GU234" s="133"/>
      <c r="GV234" s="133"/>
      <c r="GW234" s="133"/>
      <c r="GX234" s="133"/>
      <c r="GY234" s="133"/>
      <c r="GZ234" s="133"/>
      <c r="HA234" s="133"/>
      <c r="HB234" s="133"/>
      <c r="HC234" s="133"/>
      <c r="HD234" s="133"/>
      <c r="HE234" s="133"/>
      <c r="HF234" s="133"/>
      <c r="HG234" s="133"/>
      <c r="HH234" s="133"/>
      <c r="HI234" s="133"/>
      <c r="HJ234" s="133"/>
      <c r="HK234" s="133"/>
      <c r="HL234" s="133"/>
      <c r="HM234" s="133"/>
      <c r="HN234" s="133"/>
      <c r="HO234" s="133"/>
      <c r="HP234" s="133"/>
      <c r="HQ234" s="133"/>
      <c r="HR234" s="133"/>
      <c r="HS234" s="133"/>
      <c r="HT234" s="133"/>
      <c r="HU234" s="133"/>
      <c r="HV234" s="133"/>
      <c r="HW234" s="133"/>
      <c r="HX234" s="133"/>
      <c r="HY234" s="133"/>
      <c r="HZ234" s="133"/>
      <c r="IA234" s="133"/>
      <c r="IB234" s="133"/>
      <c r="IC234" s="133"/>
      <c r="ID234" s="133"/>
      <c r="IE234" s="133"/>
      <c r="IF234" s="133"/>
      <c r="IG234" s="133"/>
      <c r="IH234" s="133"/>
      <c r="II234" s="133"/>
      <c r="IJ234" s="133"/>
      <c r="IK234" s="133"/>
      <c r="IL234" s="133"/>
      <c r="IM234" s="133"/>
      <c r="IN234" s="133"/>
      <c r="IO234" s="133"/>
      <c r="IP234" s="133"/>
      <c r="IQ234" s="133"/>
      <c r="IR234" s="133"/>
      <c r="IS234" s="133"/>
      <c r="IT234" s="133"/>
      <c r="IU234" s="133"/>
      <c r="IV234" s="133"/>
    </row>
    <row r="235" spans="1:256" s="132" customFormat="1" ht="13.8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GE235" s="133"/>
      <c r="GF235" s="133"/>
      <c r="GG235" s="133"/>
      <c r="GH235" s="133"/>
      <c r="GI235" s="133"/>
      <c r="GJ235" s="133"/>
      <c r="GK235" s="133"/>
      <c r="GL235" s="133"/>
      <c r="GM235" s="133"/>
      <c r="GN235" s="133"/>
      <c r="GO235" s="133"/>
      <c r="GP235" s="133"/>
      <c r="GQ235" s="133"/>
      <c r="GR235" s="133"/>
      <c r="GS235" s="133"/>
      <c r="GT235" s="133"/>
      <c r="GU235" s="133"/>
      <c r="GV235" s="133"/>
      <c r="GW235" s="133"/>
      <c r="GX235" s="133"/>
      <c r="GY235" s="133"/>
      <c r="GZ235" s="133"/>
      <c r="HA235" s="133"/>
      <c r="HB235" s="133"/>
      <c r="HC235" s="133"/>
      <c r="HD235" s="133"/>
      <c r="HE235" s="133"/>
      <c r="HF235" s="133"/>
      <c r="HG235" s="133"/>
      <c r="HH235" s="133"/>
      <c r="HI235" s="133"/>
      <c r="HJ235" s="133"/>
      <c r="HK235" s="133"/>
      <c r="HL235" s="133"/>
      <c r="HM235" s="133"/>
      <c r="HN235" s="133"/>
      <c r="HO235" s="133"/>
      <c r="HP235" s="133"/>
      <c r="HQ235" s="133"/>
      <c r="HR235" s="133"/>
      <c r="HS235" s="133"/>
      <c r="HT235" s="133"/>
      <c r="HU235" s="133"/>
      <c r="HV235" s="133"/>
      <c r="HW235" s="133"/>
      <c r="HX235" s="133"/>
      <c r="HY235" s="133"/>
      <c r="HZ235" s="133"/>
      <c r="IA235" s="133"/>
      <c r="IB235" s="133"/>
      <c r="IC235" s="133"/>
      <c r="ID235" s="133"/>
      <c r="IE235" s="133"/>
      <c r="IF235" s="133"/>
      <c r="IG235" s="133"/>
      <c r="IH235" s="133"/>
      <c r="II235" s="133"/>
      <c r="IJ235" s="133"/>
      <c r="IK235" s="133"/>
      <c r="IL235" s="133"/>
      <c r="IM235" s="133"/>
      <c r="IN235" s="133"/>
      <c r="IO235" s="133"/>
      <c r="IP235" s="133"/>
      <c r="IQ235" s="133"/>
      <c r="IR235" s="133"/>
      <c r="IS235" s="133"/>
      <c r="IT235" s="133"/>
      <c r="IU235" s="133"/>
      <c r="IV235" s="133"/>
    </row>
    <row r="236" spans="1:256" s="132" customFormat="1" ht="13.8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GE236" s="133"/>
      <c r="GF236" s="133"/>
      <c r="GG236" s="133"/>
      <c r="GH236" s="133"/>
      <c r="GI236" s="133"/>
      <c r="GJ236" s="133"/>
      <c r="GK236" s="133"/>
      <c r="GL236" s="133"/>
      <c r="GM236" s="133"/>
      <c r="GN236" s="133"/>
      <c r="GO236" s="133"/>
      <c r="GP236" s="133"/>
      <c r="GQ236" s="133"/>
      <c r="GR236" s="133"/>
      <c r="GS236" s="133"/>
      <c r="GT236" s="133"/>
      <c r="GU236" s="133"/>
      <c r="GV236" s="133"/>
      <c r="GW236" s="133"/>
      <c r="GX236" s="133"/>
      <c r="GY236" s="133"/>
      <c r="GZ236" s="133"/>
      <c r="HA236" s="133"/>
      <c r="HB236" s="133"/>
      <c r="HC236" s="133"/>
      <c r="HD236" s="133"/>
      <c r="HE236" s="133"/>
      <c r="HF236" s="133"/>
      <c r="HG236" s="133"/>
      <c r="HH236" s="133"/>
      <c r="HI236" s="133"/>
      <c r="HJ236" s="133"/>
      <c r="HK236" s="133"/>
      <c r="HL236" s="133"/>
      <c r="HM236" s="133"/>
      <c r="HN236" s="133"/>
      <c r="HO236" s="133"/>
      <c r="HP236" s="133"/>
      <c r="HQ236" s="133"/>
      <c r="HR236" s="133"/>
      <c r="HS236" s="133"/>
      <c r="HT236" s="133"/>
      <c r="HU236" s="133"/>
      <c r="HV236" s="133"/>
      <c r="HW236" s="133"/>
      <c r="HX236" s="133"/>
      <c r="HY236" s="133"/>
      <c r="HZ236" s="133"/>
      <c r="IA236" s="133"/>
      <c r="IB236" s="133"/>
      <c r="IC236" s="133"/>
      <c r="ID236" s="133"/>
      <c r="IE236" s="133"/>
      <c r="IF236" s="133"/>
      <c r="IG236" s="133"/>
      <c r="IH236" s="133"/>
      <c r="II236" s="133"/>
      <c r="IJ236" s="133"/>
      <c r="IK236" s="133"/>
      <c r="IL236" s="133"/>
      <c r="IM236" s="133"/>
      <c r="IN236" s="133"/>
      <c r="IO236" s="133"/>
      <c r="IP236" s="133"/>
      <c r="IQ236" s="133"/>
      <c r="IR236" s="133"/>
      <c r="IS236" s="133"/>
      <c r="IT236" s="133"/>
      <c r="IU236" s="133"/>
      <c r="IV236" s="133"/>
    </row>
    <row r="237" spans="1:256" s="132" customFormat="1" ht="13.8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GE237" s="133"/>
      <c r="GF237" s="133"/>
      <c r="GG237" s="133"/>
      <c r="GH237" s="133"/>
      <c r="GI237" s="133"/>
      <c r="GJ237" s="133"/>
      <c r="GK237" s="133"/>
      <c r="GL237" s="133"/>
      <c r="GM237" s="133"/>
      <c r="GN237" s="133"/>
      <c r="GO237" s="133"/>
      <c r="GP237" s="133"/>
      <c r="GQ237" s="133"/>
      <c r="GR237" s="133"/>
      <c r="GS237" s="133"/>
      <c r="GT237" s="133"/>
      <c r="GU237" s="133"/>
      <c r="GV237" s="133"/>
      <c r="GW237" s="133"/>
      <c r="GX237" s="133"/>
      <c r="GY237" s="133"/>
      <c r="GZ237" s="133"/>
      <c r="HA237" s="133"/>
      <c r="HB237" s="133"/>
      <c r="HC237" s="133"/>
      <c r="HD237" s="133"/>
      <c r="HE237" s="133"/>
      <c r="HF237" s="133"/>
      <c r="HG237" s="133"/>
      <c r="HH237" s="133"/>
      <c r="HI237" s="133"/>
      <c r="HJ237" s="133"/>
      <c r="HK237" s="133"/>
      <c r="HL237" s="133"/>
      <c r="HM237" s="133"/>
      <c r="HN237" s="133"/>
      <c r="HO237" s="133"/>
      <c r="HP237" s="133"/>
      <c r="HQ237" s="133"/>
      <c r="HR237" s="133"/>
      <c r="HS237" s="133"/>
      <c r="HT237" s="133"/>
      <c r="HU237" s="133"/>
      <c r="HV237" s="133"/>
      <c r="HW237" s="133"/>
      <c r="HX237" s="133"/>
      <c r="HY237" s="133"/>
      <c r="HZ237" s="133"/>
      <c r="IA237" s="133"/>
      <c r="IB237" s="133"/>
      <c r="IC237" s="133"/>
      <c r="ID237" s="133"/>
      <c r="IE237" s="133"/>
      <c r="IF237" s="133"/>
      <c r="IG237" s="133"/>
      <c r="IH237" s="133"/>
      <c r="II237" s="133"/>
      <c r="IJ237" s="133"/>
      <c r="IK237" s="133"/>
      <c r="IL237" s="133"/>
      <c r="IM237" s="133"/>
      <c r="IN237" s="133"/>
      <c r="IO237" s="133"/>
      <c r="IP237" s="133"/>
      <c r="IQ237" s="133"/>
      <c r="IR237" s="133"/>
      <c r="IS237" s="133"/>
      <c r="IT237" s="133"/>
      <c r="IU237" s="133"/>
      <c r="IV237" s="133"/>
    </row>
    <row r="238" spans="1:256" s="132" customFormat="1" ht="13.8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GE238" s="133"/>
      <c r="GF238" s="133"/>
      <c r="GG238" s="133"/>
      <c r="GH238" s="133"/>
      <c r="GI238" s="133"/>
      <c r="GJ238" s="133"/>
      <c r="GK238" s="133"/>
      <c r="GL238" s="133"/>
      <c r="GM238" s="133"/>
      <c r="GN238" s="133"/>
      <c r="GO238" s="133"/>
      <c r="GP238" s="133"/>
      <c r="GQ238" s="133"/>
      <c r="GR238" s="133"/>
      <c r="GS238" s="133"/>
      <c r="GT238" s="133"/>
      <c r="GU238" s="133"/>
      <c r="GV238" s="133"/>
      <c r="GW238" s="133"/>
      <c r="GX238" s="133"/>
      <c r="GY238" s="133"/>
      <c r="GZ238" s="133"/>
      <c r="HA238" s="133"/>
      <c r="HB238" s="133"/>
      <c r="HC238" s="133"/>
      <c r="HD238" s="133"/>
      <c r="HE238" s="133"/>
      <c r="HF238" s="133"/>
      <c r="HG238" s="133"/>
      <c r="HH238" s="133"/>
      <c r="HI238" s="133"/>
      <c r="HJ238" s="133"/>
      <c r="HK238" s="133"/>
      <c r="HL238" s="133"/>
      <c r="HM238" s="133"/>
      <c r="HN238" s="133"/>
      <c r="HO238" s="133"/>
      <c r="HP238" s="133"/>
      <c r="HQ238" s="133"/>
      <c r="HR238" s="133"/>
      <c r="HS238" s="133"/>
      <c r="HT238" s="133"/>
      <c r="HU238" s="133"/>
      <c r="HV238" s="133"/>
      <c r="HW238" s="133"/>
      <c r="HX238" s="133"/>
      <c r="HY238" s="133"/>
      <c r="HZ238" s="133"/>
      <c r="IA238" s="133"/>
      <c r="IB238" s="133"/>
      <c r="IC238" s="133"/>
      <c r="ID238" s="133"/>
      <c r="IE238" s="133"/>
      <c r="IF238" s="133"/>
      <c r="IG238" s="133"/>
      <c r="IH238" s="133"/>
      <c r="II238" s="133"/>
      <c r="IJ238" s="133"/>
      <c r="IK238" s="133"/>
      <c r="IL238" s="133"/>
      <c r="IM238" s="133"/>
      <c r="IN238" s="133"/>
      <c r="IO238" s="133"/>
      <c r="IP238" s="133"/>
      <c r="IQ238" s="133"/>
      <c r="IR238" s="133"/>
      <c r="IS238" s="133"/>
      <c r="IT238" s="133"/>
      <c r="IU238" s="133"/>
      <c r="IV238" s="133"/>
    </row>
    <row r="239" spans="1:256" s="132" customFormat="1" ht="13.8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GE239" s="133"/>
      <c r="GF239" s="133"/>
      <c r="GG239" s="133"/>
      <c r="GH239" s="133"/>
      <c r="GI239" s="133"/>
      <c r="GJ239" s="133"/>
      <c r="GK239" s="133"/>
      <c r="GL239" s="133"/>
      <c r="GM239" s="133"/>
      <c r="GN239" s="133"/>
      <c r="GO239" s="133"/>
      <c r="GP239" s="133"/>
      <c r="GQ239" s="133"/>
      <c r="GR239" s="133"/>
      <c r="GS239" s="133"/>
      <c r="GT239" s="133"/>
      <c r="GU239" s="133"/>
      <c r="GV239" s="133"/>
      <c r="GW239" s="133"/>
      <c r="GX239" s="133"/>
      <c r="GY239" s="133"/>
      <c r="GZ239" s="133"/>
      <c r="HA239" s="133"/>
      <c r="HB239" s="133"/>
      <c r="HC239" s="133"/>
      <c r="HD239" s="133"/>
      <c r="HE239" s="133"/>
      <c r="HF239" s="133"/>
      <c r="HG239" s="133"/>
      <c r="HH239" s="133"/>
      <c r="HI239" s="133"/>
      <c r="HJ239" s="133"/>
      <c r="HK239" s="133"/>
      <c r="HL239" s="133"/>
      <c r="HM239" s="133"/>
      <c r="HN239" s="133"/>
      <c r="HO239" s="133"/>
      <c r="HP239" s="133"/>
      <c r="HQ239" s="133"/>
      <c r="HR239" s="133"/>
      <c r="HS239" s="133"/>
      <c r="HT239" s="133"/>
      <c r="HU239" s="133"/>
      <c r="HV239" s="133"/>
      <c r="HW239" s="133"/>
      <c r="HX239" s="133"/>
      <c r="HY239" s="133"/>
      <c r="HZ239" s="133"/>
      <c r="IA239" s="133"/>
      <c r="IB239" s="133"/>
      <c r="IC239" s="133"/>
      <c r="ID239" s="133"/>
      <c r="IE239" s="133"/>
      <c r="IF239" s="133"/>
      <c r="IG239" s="133"/>
      <c r="IH239" s="133"/>
      <c r="II239" s="133"/>
      <c r="IJ239" s="133"/>
      <c r="IK239" s="133"/>
      <c r="IL239" s="133"/>
      <c r="IM239" s="133"/>
      <c r="IN239" s="133"/>
      <c r="IO239" s="133"/>
      <c r="IP239" s="133"/>
      <c r="IQ239" s="133"/>
      <c r="IR239" s="133"/>
      <c r="IS239" s="133"/>
      <c r="IT239" s="133"/>
      <c r="IU239" s="133"/>
      <c r="IV239" s="133"/>
    </row>
    <row r="240" spans="1:256" s="132" customFormat="1" ht="13.8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GE240" s="133"/>
      <c r="GF240" s="133"/>
      <c r="GG240" s="133"/>
      <c r="GH240" s="133"/>
      <c r="GI240" s="133"/>
      <c r="GJ240" s="133"/>
      <c r="GK240" s="133"/>
      <c r="GL240" s="133"/>
      <c r="GM240" s="133"/>
      <c r="GN240" s="133"/>
      <c r="GO240" s="133"/>
      <c r="GP240" s="133"/>
      <c r="GQ240" s="133"/>
      <c r="GR240" s="133"/>
      <c r="GS240" s="133"/>
      <c r="GT240" s="133"/>
      <c r="GU240" s="133"/>
      <c r="GV240" s="133"/>
      <c r="GW240" s="133"/>
      <c r="GX240" s="133"/>
      <c r="GY240" s="133"/>
      <c r="GZ240" s="133"/>
      <c r="HA240" s="133"/>
      <c r="HB240" s="133"/>
      <c r="HC240" s="133"/>
      <c r="HD240" s="133"/>
      <c r="HE240" s="133"/>
      <c r="HF240" s="133"/>
      <c r="HG240" s="133"/>
      <c r="HH240" s="133"/>
      <c r="HI240" s="133"/>
      <c r="HJ240" s="133"/>
      <c r="HK240" s="133"/>
      <c r="HL240" s="133"/>
      <c r="HM240" s="133"/>
      <c r="HN240" s="133"/>
      <c r="HO240" s="133"/>
      <c r="HP240" s="133"/>
      <c r="HQ240" s="133"/>
      <c r="HR240" s="133"/>
      <c r="HS240" s="133"/>
      <c r="HT240" s="133"/>
      <c r="HU240" s="133"/>
      <c r="HV240" s="133"/>
      <c r="HW240" s="133"/>
      <c r="HX240" s="133"/>
      <c r="HY240" s="133"/>
      <c r="HZ240" s="133"/>
      <c r="IA240" s="133"/>
      <c r="IB240" s="133"/>
      <c r="IC240" s="133"/>
      <c r="ID240" s="133"/>
      <c r="IE240" s="133"/>
      <c r="IF240" s="133"/>
      <c r="IG240" s="133"/>
      <c r="IH240" s="133"/>
      <c r="II240" s="133"/>
      <c r="IJ240" s="133"/>
      <c r="IK240" s="133"/>
      <c r="IL240" s="133"/>
      <c r="IM240" s="133"/>
      <c r="IN240" s="133"/>
      <c r="IO240" s="133"/>
      <c r="IP240" s="133"/>
      <c r="IQ240" s="133"/>
      <c r="IR240" s="133"/>
      <c r="IS240" s="133"/>
      <c r="IT240" s="133"/>
      <c r="IU240" s="133"/>
      <c r="IV240" s="133"/>
    </row>
    <row r="241" spans="1:256" s="132" customFormat="1" ht="13.8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GE241" s="133"/>
      <c r="GF241" s="133"/>
      <c r="GG241" s="133"/>
      <c r="GH241" s="133"/>
      <c r="GI241" s="133"/>
      <c r="GJ241" s="133"/>
      <c r="GK241" s="133"/>
      <c r="GL241" s="133"/>
      <c r="GM241" s="133"/>
      <c r="GN241" s="133"/>
      <c r="GO241" s="133"/>
      <c r="GP241" s="133"/>
      <c r="GQ241" s="133"/>
      <c r="GR241" s="133"/>
      <c r="GS241" s="133"/>
      <c r="GT241" s="133"/>
      <c r="GU241" s="133"/>
      <c r="GV241" s="133"/>
      <c r="GW241" s="133"/>
      <c r="GX241" s="133"/>
      <c r="GY241" s="133"/>
      <c r="GZ241" s="133"/>
      <c r="HA241" s="133"/>
      <c r="HB241" s="133"/>
      <c r="HC241" s="133"/>
      <c r="HD241" s="133"/>
      <c r="HE241" s="133"/>
      <c r="HF241" s="133"/>
      <c r="HG241" s="133"/>
      <c r="HH241" s="133"/>
      <c r="HI241" s="133"/>
      <c r="HJ241" s="133"/>
      <c r="HK241" s="133"/>
      <c r="HL241" s="133"/>
      <c r="HM241" s="133"/>
      <c r="HN241" s="133"/>
      <c r="HO241" s="133"/>
      <c r="HP241" s="133"/>
      <c r="HQ241" s="133"/>
      <c r="HR241" s="133"/>
      <c r="HS241" s="133"/>
      <c r="HT241" s="133"/>
      <c r="HU241" s="133"/>
      <c r="HV241" s="133"/>
      <c r="HW241" s="133"/>
      <c r="HX241" s="133"/>
      <c r="HY241" s="133"/>
      <c r="HZ241" s="133"/>
      <c r="IA241" s="133"/>
      <c r="IB241" s="133"/>
      <c r="IC241" s="133"/>
      <c r="ID241" s="133"/>
      <c r="IE241" s="133"/>
      <c r="IF241" s="133"/>
      <c r="IG241" s="133"/>
      <c r="IH241" s="133"/>
      <c r="II241" s="133"/>
      <c r="IJ241" s="133"/>
      <c r="IK241" s="133"/>
      <c r="IL241" s="133"/>
      <c r="IM241" s="133"/>
      <c r="IN241" s="133"/>
      <c r="IO241" s="133"/>
      <c r="IP241" s="133"/>
      <c r="IQ241" s="133"/>
      <c r="IR241" s="133"/>
      <c r="IS241" s="133"/>
      <c r="IT241" s="133"/>
      <c r="IU241" s="133"/>
      <c r="IV241" s="133"/>
    </row>
    <row r="242" spans="1:256" s="132" customFormat="1" ht="13.8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GE242" s="133"/>
      <c r="GF242" s="133"/>
      <c r="GG242" s="133"/>
      <c r="GH242" s="133"/>
      <c r="GI242" s="133"/>
      <c r="GJ242" s="133"/>
      <c r="GK242" s="133"/>
      <c r="GL242" s="133"/>
      <c r="GM242" s="133"/>
      <c r="GN242" s="133"/>
      <c r="GO242" s="133"/>
      <c r="GP242" s="133"/>
      <c r="GQ242" s="133"/>
      <c r="GR242" s="133"/>
      <c r="GS242" s="133"/>
      <c r="GT242" s="133"/>
      <c r="GU242" s="133"/>
      <c r="GV242" s="133"/>
      <c r="GW242" s="133"/>
      <c r="GX242" s="133"/>
      <c r="GY242" s="133"/>
      <c r="GZ242" s="133"/>
      <c r="HA242" s="133"/>
      <c r="HB242" s="133"/>
      <c r="HC242" s="133"/>
      <c r="HD242" s="133"/>
      <c r="HE242" s="133"/>
      <c r="HF242" s="133"/>
      <c r="HG242" s="133"/>
      <c r="HH242" s="133"/>
      <c r="HI242" s="133"/>
      <c r="HJ242" s="133"/>
      <c r="HK242" s="133"/>
      <c r="HL242" s="133"/>
      <c r="HM242" s="133"/>
      <c r="HN242" s="133"/>
      <c r="HO242" s="133"/>
      <c r="HP242" s="133"/>
      <c r="HQ242" s="133"/>
      <c r="HR242" s="133"/>
      <c r="HS242" s="133"/>
      <c r="HT242" s="133"/>
      <c r="HU242" s="133"/>
      <c r="HV242" s="133"/>
      <c r="HW242" s="133"/>
      <c r="HX242" s="133"/>
      <c r="HY242" s="133"/>
      <c r="HZ242" s="133"/>
      <c r="IA242" s="133"/>
      <c r="IB242" s="133"/>
      <c r="IC242" s="133"/>
      <c r="ID242" s="133"/>
      <c r="IE242" s="133"/>
      <c r="IF242" s="133"/>
      <c r="IG242" s="133"/>
      <c r="IH242" s="133"/>
      <c r="II242" s="133"/>
      <c r="IJ242" s="133"/>
      <c r="IK242" s="133"/>
      <c r="IL242" s="133"/>
      <c r="IM242" s="133"/>
      <c r="IN242" s="133"/>
      <c r="IO242" s="133"/>
      <c r="IP242" s="133"/>
      <c r="IQ242" s="133"/>
      <c r="IR242" s="133"/>
      <c r="IS242" s="133"/>
      <c r="IT242" s="133"/>
      <c r="IU242" s="133"/>
      <c r="IV242" s="133"/>
    </row>
    <row r="243" spans="1:256" s="132" customFormat="1" ht="13.8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GE243" s="133"/>
      <c r="GF243" s="133"/>
      <c r="GG243" s="133"/>
      <c r="GH243" s="133"/>
      <c r="GI243" s="133"/>
      <c r="GJ243" s="133"/>
      <c r="GK243" s="133"/>
      <c r="GL243" s="133"/>
      <c r="GM243" s="133"/>
      <c r="GN243" s="133"/>
      <c r="GO243" s="133"/>
      <c r="GP243" s="133"/>
      <c r="GQ243" s="133"/>
      <c r="GR243" s="133"/>
      <c r="GS243" s="133"/>
      <c r="GT243" s="133"/>
      <c r="GU243" s="133"/>
      <c r="GV243" s="133"/>
      <c r="GW243" s="133"/>
      <c r="GX243" s="133"/>
      <c r="GY243" s="133"/>
      <c r="GZ243" s="133"/>
      <c r="HA243" s="133"/>
      <c r="HB243" s="133"/>
      <c r="HC243" s="133"/>
      <c r="HD243" s="133"/>
      <c r="HE243" s="133"/>
      <c r="HF243" s="133"/>
      <c r="HG243" s="133"/>
      <c r="HH243" s="133"/>
      <c r="HI243" s="133"/>
      <c r="HJ243" s="133"/>
      <c r="HK243" s="133"/>
      <c r="HL243" s="133"/>
      <c r="HM243" s="133"/>
      <c r="HN243" s="133"/>
      <c r="HO243" s="133"/>
      <c r="HP243" s="133"/>
      <c r="HQ243" s="133"/>
      <c r="HR243" s="133"/>
      <c r="HS243" s="133"/>
      <c r="HT243" s="133"/>
      <c r="HU243" s="133"/>
      <c r="HV243" s="133"/>
      <c r="HW243" s="133"/>
      <c r="HX243" s="133"/>
      <c r="HY243" s="133"/>
      <c r="HZ243" s="133"/>
      <c r="IA243" s="133"/>
      <c r="IB243" s="133"/>
      <c r="IC243" s="133"/>
      <c r="ID243" s="133"/>
      <c r="IE243" s="133"/>
      <c r="IF243" s="133"/>
      <c r="IG243" s="133"/>
      <c r="IH243" s="133"/>
      <c r="II243" s="133"/>
      <c r="IJ243" s="133"/>
      <c r="IK243" s="133"/>
      <c r="IL243" s="133"/>
      <c r="IM243" s="133"/>
      <c r="IN243" s="133"/>
      <c r="IO243" s="133"/>
      <c r="IP243" s="133"/>
      <c r="IQ243" s="133"/>
      <c r="IR243" s="133"/>
      <c r="IS243" s="133"/>
      <c r="IT243" s="133"/>
      <c r="IU243" s="133"/>
      <c r="IV243" s="133"/>
    </row>
    <row r="244" spans="1:256" s="132" customFormat="1" ht="13.8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GE244" s="133"/>
      <c r="GF244" s="133"/>
      <c r="GG244" s="133"/>
      <c r="GH244" s="133"/>
      <c r="GI244" s="133"/>
      <c r="GJ244" s="133"/>
      <c r="GK244" s="133"/>
      <c r="GL244" s="133"/>
      <c r="GM244" s="133"/>
      <c r="GN244" s="133"/>
      <c r="GO244" s="133"/>
      <c r="GP244" s="133"/>
      <c r="GQ244" s="133"/>
      <c r="GR244" s="133"/>
      <c r="GS244" s="133"/>
      <c r="GT244" s="133"/>
      <c r="GU244" s="133"/>
      <c r="GV244" s="133"/>
      <c r="GW244" s="133"/>
      <c r="GX244" s="133"/>
      <c r="GY244" s="133"/>
      <c r="GZ244" s="133"/>
      <c r="HA244" s="133"/>
      <c r="HB244" s="133"/>
      <c r="HC244" s="133"/>
      <c r="HD244" s="133"/>
      <c r="HE244" s="133"/>
      <c r="HF244" s="133"/>
      <c r="HG244" s="133"/>
      <c r="HH244" s="133"/>
      <c r="HI244" s="133"/>
      <c r="HJ244" s="133"/>
      <c r="HK244" s="133"/>
      <c r="HL244" s="133"/>
      <c r="HM244" s="133"/>
      <c r="HN244" s="133"/>
      <c r="HO244" s="133"/>
      <c r="HP244" s="133"/>
      <c r="HQ244" s="133"/>
      <c r="HR244" s="133"/>
      <c r="HS244" s="133"/>
      <c r="HT244" s="133"/>
      <c r="HU244" s="133"/>
      <c r="HV244" s="133"/>
      <c r="HW244" s="133"/>
      <c r="HX244" s="133"/>
      <c r="HY244" s="133"/>
      <c r="HZ244" s="133"/>
      <c r="IA244" s="133"/>
      <c r="IB244" s="133"/>
      <c r="IC244" s="133"/>
      <c r="ID244" s="133"/>
      <c r="IE244" s="133"/>
      <c r="IF244" s="133"/>
      <c r="IG244" s="133"/>
      <c r="IH244" s="133"/>
      <c r="II244" s="133"/>
      <c r="IJ244" s="133"/>
      <c r="IK244" s="133"/>
      <c r="IL244" s="133"/>
      <c r="IM244" s="133"/>
      <c r="IN244" s="133"/>
      <c r="IO244" s="133"/>
      <c r="IP244" s="133"/>
      <c r="IQ244" s="133"/>
      <c r="IR244" s="133"/>
      <c r="IS244" s="133"/>
      <c r="IT244" s="133"/>
      <c r="IU244" s="133"/>
      <c r="IV244" s="133"/>
    </row>
    <row r="245" spans="1:256" s="132" customFormat="1" ht="13.8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GE245" s="133"/>
      <c r="GF245" s="133"/>
      <c r="GG245" s="133"/>
      <c r="GH245" s="133"/>
      <c r="GI245" s="133"/>
      <c r="GJ245" s="133"/>
      <c r="GK245" s="133"/>
      <c r="GL245" s="133"/>
      <c r="GM245" s="133"/>
      <c r="GN245" s="133"/>
      <c r="GO245" s="133"/>
      <c r="GP245" s="133"/>
      <c r="GQ245" s="133"/>
      <c r="GR245" s="133"/>
      <c r="GS245" s="133"/>
      <c r="GT245" s="133"/>
      <c r="GU245" s="133"/>
      <c r="GV245" s="133"/>
      <c r="GW245" s="133"/>
      <c r="GX245" s="133"/>
      <c r="GY245" s="133"/>
      <c r="GZ245" s="133"/>
      <c r="HA245" s="133"/>
      <c r="HB245" s="133"/>
      <c r="HC245" s="133"/>
      <c r="HD245" s="133"/>
      <c r="HE245" s="133"/>
      <c r="HF245" s="133"/>
      <c r="HG245" s="133"/>
      <c r="HH245" s="133"/>
      <c r="HI245" s="133"/>
      <c r="HJ245" s="133"/>
      <c r="HK245" s="133"/>
      <c r="HL245" s="133"/>
      <c r="HM245" s="133"/>
      <c r="HN245" s="133"/>
      <c r="HO245" s="133"/>
      <c r="HP245" s="133"/>
      <c r="HQ245" s="133"/>
      <c r="HR245" s="133"/>
      <c r="HS245" s="133"/>
      <c r="HT245" s="133"/>
      <c r="HU245" s="133"/>
      <c r="HV245" s="133"/>
      <c r="HW245" s="133"/>
      <c r="HX245" s="133"/>
      <c r="HY245" s="133"/>
      <c r="HZ245" s="133"/>
      <c r="IA245" s="133"/>
      <c r="IB245" s="133"/>
      <c r="IC245" s="133"/>
      <c r="ID245" s="133"/>
      <c r="IE245" s="133"/>
      <c r="IF245" s="133"/>
      <c r="IG245" s="133"/>
      <c r="IH245" s="133"/>
      <c r="II245" s="133"/>
      <c r="IJ245" s="133"/>
      <c r="IK245" s="133"/>
      <c r="IL245" s="133"/>
      <c r="IM245" s="133"/>
      <c r="IN245" s="133"/>
      <c r="IO245" s="133"/>
      <c r="IP245" s="133"/>
      <c r="IQ245" s="133"/>
      <c r="IR245" s="133"/>
      <c r="IS245" s="133"/>
      <c r="IT245" s="133"/>
      <c r="IU245" s="133"/>
      <c r="IV245" s="133"/>
    </row>
    <row r="246" spans="1:256" s="132" customFormat="1" ht="13.8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GE246" s="133"/>
      <c r="GF246" s="133"/>
      <c r="GG246" s="133"/>
      <c r="GH246" s="133"/>
      <c r="GI246" s="133"/>
      <c r="GJ246" s="133"/>
      <c r="GK246" s="133"/>
      <c r="GL246" s="133"/>
      <c r="GM246" s="133"/>
      <c r="GN246" s="133"/>
      <c r="GO246" s="133"/>
      <c r="GP246" s="133"/>
      <c r="GQ246" s="133"/>
      <c r="GR246" s="133"/>
      <c r="GS246" s="133"/>
      <c r="GT246" s="133"/>
      <c r="GU246" s="133"/>
      <c r="GV246" s="133"/>
      <c r="GW246" s="133"/>
      <c r="GX246" s="133"/>
      <c r="GY246" s="133"/>
      <c r="GZ246" s="133"/>
      <c r="HA246" s="133"/>
      <c r="HB246" s="133"/>
      <c r="HC246" s="133"/>
      <c r="HD246" s="133"/>
      <c r="HE246" s="133"/>
      <c r="HF246" s="133"/>
      <c r="HG246" s="133"/>
      <c r="HH246" s="133"/>
      <c r="HI246" s="133"/>
      <c r="HJ246" s="133"/>
      <c r="HK246" s="133"/>
      <c r="HL246" s="133"/>
      <c r="HM246" s="133"/>
      <c r="HN246" s="133"/>
      <c r="HO246" s="133"/>
      <c r="HP246" s="133"/>
      <c r="HQ246" s="133"/>
      <c r="HR246" s="133"/>
      <c r="HS246" s="133"/>
      <c r="HT246" s="133"/>
      <c r="HU246" s="133"/>
      <c r="HV246" s="133"/>
      <c r="HW246" s="133"/>
      <c r="HX246" s="133"/>
      <c r="HY246" s="133"/>
      <c r="HZ246" s="133"/>
      <c r="IA246" s="133"/>
      <c r="IB246" s="133"/>
      <c r="IC246" s="133"/>
      <c r="ID246" s="133"/>
      <c r="IE246" s="133"/>
      <c r="IF246" s="133"/>
      <c r="IG246" s="133"/>
      <c r="IH246" s="133"/>
      <c r="II246" s="133"/>
      <c r="IJ246" s="133"/>
      <c r="IK246" s="133"/>
      <c r="IL246" s="133"/>
      <c r="IM246" s="133"/>
      <c r="IN246" s="133"/>
      <c r="IO246" s="133"/>
      <c r="IP246" s="133"/>
      <c r="IQ246" s="133"/>
      <c r="IR246" s="133"/>
      <c r="IS246" s="133"/>
      <c r="IT246" s="133"/>
      <c r="IU246" s="133"/>
      <c r="IV246" s="133"/>
    </row>
    <row r="247" spans="1:256" s="132" customFormat="1" ht="13.8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GE247" s="133"/>
      <c r="GF247" s="133"/>
      <c r="GG247" s="133"/>
      <c r="GH247" s="133"/>
      <c r="GI247" s="133"/>
      <c r="GJ247" s="133"/>
      <c r="GK247" s="133"/>
      <c r="GL247" s="133"/>
      <c r="GM247" s="133"/>
      <c r="GN247" s="133"/>
      <c r="GO247" s="133"/>
      <c r="GP247" s="133"/>
      <c r="GQ247" s="133"/>
      <c r="GR247" s="133"/>
      <c r="GS247" s="133"/>
      <c r="GT247" s="133"/>
      <c r="GU247" s="133"/>
      <c r="GV247" s="133"/>
      <c r="GW247" s="133"/>
      <c r="GX247" s="133"/>
      <c r="GY247" s="133"/>
      <c r="GZ247" s="133"/>
      <c r="HA247" s="133"/>
      <c r="HB247" s="133"/>
      <c r="HC247" s="133"/>
      <c r="HD247" s="133"/>
      <c r="HE247" s="133"/>
      <c r="HF247" s="133"/>
      <c r="HG247" s="133"/>
      <c r="HH247" s="133"/>
      <c r="HI247" s="133"/>
      <c r="HJ247" s="133"/>
      <c r="HK247" s="133"/>
      <c r="HL247" s="133"/>
      <c r="HM247" s="133"/>
      <c r="HN247" s="133"/>
      <c r="HO247" s="133"/>
      <c r="HP247" s="133"/>
      <c r="HQ247" s="133"/>
      <c r="HR247" s="133"/>
      <c r="HS247" s="133"/>
      <c r="HT247" s="133"/>
      <c r="HU247" s="133"/>
      <c r="HV247" s="133"/>
      <c r="HW247" s="133"/>
      <c r="HX247" s="133"/>
      <c r="HY247" s="133"/>
      <c r="HZ247" s="133"/>
      <c r="IA247" s="133"/>
      <c r="IB247" s="133"/>
      <c r="IC247" s="133"/>
      <c r="ID247" s="133"/>
      <c r="IE247" s="133"/>
      <c r="IF247" s="133"/>
      <c r="IG247" s="133"/>
      <c r="IH247" s="133"/>
      <c r="II247" s="133"/>
      <c r="IJ247" s="133"/>
      <c r="IK247" s="133"/>
      <c r="IL247" s="133"/>
      <c r="IM247" s="133"/>
      <c r="IN247" s="133"/>
      <c r="IO247" s="133"/>
      <c r="IP247" s="133"/>
      <c r="IQ247" s="133"/>
      <c r="IR247" s="133"/>
      <c r="IS247" s="133"/>
      <c r="IT247" s="133"/>
      <c r="IU247" s="133"/>
      <c r="IV247" s="133"/>
    </row>
    <row r="248" spans="1:256" s="132" customFormat="1" ht="13.8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GE248" s="133"/>
      <c r="GF248" s="133"/>
      <c r="GG248" s="133"/>
      <c r="GH248" s="133"/>
      <c r="GI248" s="133"/>
      <c r="GJ248" s="133"/>
      <c r="GK248" s="133"/>
      <c r="GL248" s="133"/>
      <c r="GM248" s="133"/>
      <c r="GN248" s="133"/>
      <c r="GO248" s="133"/>
      <c r="GP248" s="133"/>
      <c r="GQ248" s="133"/>
      <c r="GR248" s="133"/>
      <c r="GS248" s="133"/>
      <c r="GT248" s="133"/>
      <c r="GU248" s="133"/>
      <c r="GV248" s="133"/>
      <c r="GW248" s="133"/>
      <c r="GX248" s="133"/>
      <c r="GY248" s="133"/>
      <c r="GZ248" s="133"/>
      <c r="HA248" s="133"/>
      <c r="HB248" s="133"/>
      <c r="HC248" s="133"/>
      <c r="HD248" s="133"/>
      <c r="HE248" s="133"/>
      <c r="HF248" s="133"/>
      <c r="HG248" s="133"/>
      <c r="HH248" s="133"/>
      <c r="HI248" s="133"/>
      <c r="HJ248" s="133"/>
      <c r="HK248" s="133"/>
      <c r="HL248" s="133"/>
      <c r="HM248" s="133"/>
      <c r="HN248" s="133"/>
      <c r="HO248" s="133"/>
      <c r="HP248" s="133"/>
      <c r="HQ248" s="133"/>
      <c r="HR248" s="133"/>
      <c r="HS248" s="133"/>
      <c r="HT248" s="133"/>
      <c r="HU248" s="133"/>
      <c r="HV248" s="133"/>
      <c r="HW248" s="133"/>
      <c r="HX248" s="133"/>
      <c r="HY248" s="133"/>
      <c r="HZ248" s="133"/>
      <c r="IA248" s="133"/>
      <c r="IB248" s="133"/>
      <c r="IC248" s="133"/>
      <c r="ID248" s="133"/>
      <c r="IE248" s="133"/>
      <c r="IF248" s="133"/>
      <c r="IG248" s="133"/>
      <c r="IH248" s="133"/>
      <c r="II248" s="133"/>
      <c r="IJ248" s="133"/>
      <c r="IK248" s="133"/>
      <c r="IL248" s="133"/>
      <c r="IM248" s="133"/>
      <c r="IN248" s="133"/>
      <c r="IO248" s="133"/>
      <c r="IP248" s="133"/>
      <c r="IQ248" s="133"/>
      <c r="IR248" s="133"/>
      <c r="IS248" s="133"/>
      <c r="IT248" s="133"/>
      <c r="IU248" s="133"/>
      <c r="IV248" s="133"/>
    </row>
    <row r="249" spans="1:256" s="132" customFormat="1" ht="13.8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GE249" s="133"/>
      <c r="GF249" s="133"/>
      <c r="GG249" s="133"/>
      <c r="GH249" s="133"/>
      <c r="GI249" s="133"/>
      <c r="GJ249" s="133"/>
      <c r="GK249" s="133"/>
      <c r="GL249" s="133"/>
      <c r="GM249" s="133"/>
      <c r="GN249" s="133"/>
      <c r="GO249" s="133"/>
      <c r="GP249" s="133"/>
      <c r="GQ249" s="133"/>
      <c r="GR249" s="133"/>
      <c r="GS249" s="133"/>
      <c r="GT249" s="133"/>
      <c r="GU249" s="133"/>
      <c r="GV249" s="133"/>
      <c r="GW249" s="133"/>
      <c r="GX249" s="133"/>
      <c r="GY249" s="133"/>
      <c r="GZ249" s="133"/>
      <c r="HA249" s="133"/>
      <c r="HB249" s="133"/>
      <c r="HC249" s="133"/>
      <c r="HD249" s="133"/>
      <c r="HE249" s="133"/>
      <c r="HF249" s="133"/>
      <c r="HG249" s="133"/>
      <c r="HH249" s="133"/>
      <c r="HI249" s="133"/>
      <c r="HJ249" s="133"/>
      <c r="HK249" s="133"/>
      <c r="HL249" s="133"/>
      <c r="HM249" s="133"/>
      <c r="HN249" s="133"/>
      <c r="HO249" s="133"/>
      <c r="HP249" s="133"/>
      <c r="HQ249" s="133"/>
      <c r="HR249" s="133"/>
      <c r="HS249" s="133"/>
      <c r="HT249" s="133"/>
      <c r="HU249" s="133"/>
      <c r="HV249" s="133"/>
      <c r="HW249" s="133"/>
      <c r="HX249" s="133"/>
      <c r="HY249" s="133"/>
      <c r="HZ249" s="133"/>
      <c r="IA249" s="133"/>
      <c r="IB249" s="133"/>
      <c r="IC249" s="133"/>
      <c r="ID249" s="133"/>
      <c r="IE249" s="133"/>
      <c r="IF249" s="133"/>
      <c r="IG249" s="133"/>
      <c r="IH249" s="133"/>
      <c r="II249" s="133"/>
      <c r="IJ249" s="133"/>
      <c r="IK249" s="133"/>
      <c r="IL249" s="133"/>
      <c r="IM249" s="133"/>
      <c r="IN249" s="133"/>
      <c r="IO249" s="133"/>
      <c r="IP249" s="133"/>
      <c r="IQ249" s="133"/>
      <c r="IR249" s="133"/>
      <c r="IS249" s="133"/>
      <c r="IT249" s="133"/>
      <c r="IU249" s="133"/>
      <c r="IV249" s="133"/>
    </row>
    <row r="250" spans="1:256" s="132" customFormat="1" ht="13.8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GE250" s="133"/>
      <c r="GF250" s="133"/>
      <c r="GG250" s="133"/>
      <c r="GH250" s="133"/>
      <c r="GI250" s="133"/>
      <c r="GJ250" s="133"/>
      <c r="GK250" s="133"/>
      <c r="GL250" s="133"/>
      <c r="GM250" s="133"/>
      <c r="GN250" s="133"/>
      <c r="GO250" s="133"/>
      <c r="GP250" s="133"/>
      <c r="GQ250" s="133"/>
      <c r="GR250" s="133"/>
      <c r="GS250" s="133"/>
      <c r="GT250" s="133"/>
      <c r="GU250" s="133"/>
      <c r="GV250" s="133"/>
      <c r="GW250" s="133"/>
      <c r="GX250" s="133"/>
      <c r="GY250" s="133"/>
      <c r="GZ250" s="133"/>
      <c r="HA250" s="133"/>
      <c r="HB250" s="133"/>
      <c r="HC250" s="133"/>
      <c r="HD250" s="133"/>
      <c r="HE250" s="133"/>
      <c r="HF250" s="133"/>
      <c r="HG250" s="133"/>
      <c r="HH250" s="133"/>
      <c r="HI250" s="133"/>
      <c r="HJ250" s="133"/>
      <c r="HK250" s="133"/>
      <c r="HL250" s="133"/>
      <c r="HM250" s="133"/>
      <c r="HN250" s="133"/>
      <c r="HO250" s="133"/>
      <c r="HP250" s="133"/>
      <c r="HQ250" s="133"/>
      <c r="HR250" s="133"/>
      <c r="HS250" s="133"/>
      <c r="HT250" s="133"/>
      <c r="HU250" s="133"/>
      <c r="HV250" s="133"/>
      <c r="HW250" s="133"/>
      <c r="HX250" s="133"/>
      <c r="HY250" s="133"/>
      <c r="HZ250" s="133"/>
      <c r="IA250" s="133"/>
      <c r="IB250" s="133"/>
      <c r="IC250" s="133"/>
      <c r="ID250" s="133"/>
      <c r="IE250" s="133"/>
      <c r="IF250" s="133"/>
      <c r="IG250" s="133"/>
      <c r="IH250" s="133"/>
      <c r="II250" s="133"/>
      <c r="IJ250" s="133"/>
      <c r="IK250" s="133"/>
      <c r="IL250" s="133"/>
      <c r="IM250" s="133"/>
      <c r="IN250" s="133"/>
      <c r="IO250" s="133"/>
      <c r="IP250" s="133"/>
      <c r="IQ250" s="133"/>
      <c r="IR250" s="133"/>
      <c r="IS250" s="133"/>
      <c r="IT250" s="133"/>
      <c r="IU250" s="133"/>
      <c r="IV250" s="133"/>
    </row>
    <row r="251" spans="1:256" s="132" customFormat="1" ht="13.8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GE251" s="133"/>
      <c r="GF251" s="133"/>
      <c r="GG251" s="133"/>
      <c r="GH251" s="133"/>
      <c r="GI251" s="133"/>
      <c r="GJ251" s="133"/>
      <c r="GK251" s="133"/>
      <c r="GL251" s="133"/>
      <c r="GM251" s="133"/>
      <c r="GN251" s="133"/>
      <c r="GO251" s="133"/>
      <c r="GP251" s="133"/>
      <c r="GQ251" s="133"/>
      <c r="GR251" s="133"/>
      <c r="GS251" s="133"/>
      <c r="GT251" s="133"/>
      <c r="GU251" s="133"/>
      <c r="GV251" s="133"/>
      <c r="GW251" s="133"/>
      <c r="GX251" s="133"/>
      <c r="GY251" s="133"/>
      <c r="GZ251" s="133"/>
      <c r="HA251" s="133"/>
      <c r="HB251" s="133"/>
      <c r="HC251" s="133"/>
      <c r="HD251" s="133"/>
      <c r="HE251" s="133"/>
      <c r="HF251" s="133"/>
      <c r="HG251" s="133"/>
      <c r="HH251" s="133"/>
      <c r="HI251" s="133"/>
      <c r="HJ251" s="133"/>
      <c r="HK251" s="133"/>
      <c r="HL251" s="133"/>
      <c r="HM251" s="133"/>
      <c r="HN251" s="133"/>
      <c r="HO251" s="133"/>
      <c r="HP251" s="133"/>
      <c r="HQ251" s="133"/>
      <c r="HR251" s="133"/>
      <c r="HS251" s="133"/>
      <c r="HT251" s="133"/>
      <c r="HU251" s="133"/>
      <c r="HV251" s="133"/>
      <c r="HW251" s="133"/>
      <c r="HX251" s="133"/>
      <c r="HY251" s="133"/>
      <c r="HZ251" s="133"/>
      <c r="IA251" s="133"/>
      <c r="IB251" s="133"/>
      <c r="IC251" s="133"/>
      <c r="ID251" s="133"/>
      <c r="IE251" s="133"/>
      <c r="IF251" s="133"/>
      <c r="IG251" s="133"/>
      <c r="IH251" s="133"/>
      <c r="II251" s="133"/>
      <c r="IJ251" s="133"/>
      <c r="IK251" s="133"/>
      <c r="IL251" s="133"/>
      <c r="IM251" s="133"/>
      <c r="IN251" s="133"/>
      <c r="IO251" s="133"/>
      <c r="IP251" s="133"/>
      <c r="IQ251" s="133"/>
      <c r="IR251" s="133"/>
      <c r="IS251" s="133"/>
      <c r="IT251" s="133"/>
      <c r="IU251" s="133"/>
      <c r="IV251" s="133"/>
    </row>
    <row r="252" spans="1:256" s="132" customFormat="1" ht="13.8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GE252" s="133"/>
      <c r="GF252" s="133"/>
      <c r="GG252" s="133"/>
      <c r="GH252" s="133"/>
      <c r="GI252" s="133"/>
      <c r="GJ252" s="133"/>
      <c r="GK252" s="133"/>
      <c r="GL252" s="133"/>
      <c r="GM252" s="133"/>
      <c r="GN252" s="133"/>
      <c r="GO252" s="133"/>
      <c r="GP252" s="133"/>
      <c r="GQ252" s="133"/>
      <c r="GR252" s="133"/>
      <c r="GS252" s="133"/>
      <c r="GT252" s="133"/>
      <c r="GU252" s="133"/>
      <c r="GV252" s="133"/>
      <c r="GW252" s="133"/>
      <c r="GX252" s="133"/>
      <c r="GY252" s="133"/>
      <c r="GZ252" s="133"/>
      <c r="HA252" s="133"/>
      <c r="HB252" s="133"/>
      <c r="HC252" s="133"/>
      <c r="HD252" s="133"/>
      <c r="HE252" s="133"/>
      <c r="HF252" s="133"/>
      <c r="HG252" s="133"/>
      <c r="HH252" s="133"/>
      <c r="HI252" s="133"/>
      <c r="HJ252" s="133"/>
      <c r="HK252" s="133"/>
      <c r="HL252" s="133"/>
      <c r="HM252" s="133"/>
      <c r="HN252" s="133"/>
      <c r="HO252" s="133"/>
      <c r="HP252" s="133"/>
      <c r="HQ252" s="133"/>
      <c r="HR252" s="133"/>
      <c r="HS252" s="133"/>
      <c r="HT252" s="133"/>
      <c r="HU252" s="133"/>
      <c r="HV252" s="133"/>
      <c r="HW252" s="133"/>
      <c r="HX252" s="133"/>
      <c r="HY252" s="133"/>
      <c r="HZ252" s="133"/>
      <c r="IA252" s="133"/>
      <c r="IB252" s="133"/>
      <c r="IC252" s="133"/>
      <c r="ID252" s="133"/>
      <c r="IE252" s="133"/>
      <c r="IF252" s="133"/>
      <c r="IG252" s="133"/>
      <c r="IH252" s="133"/>
      <c r="II252" s="133"/>
      <c r="IJ252" s="133"/>
      <c r="IK252" s="133"/>
      <c r="IL252" s="133"/>
      <c r="IM252" s="133"/>
      <c r="IN252" s="133"/>
      <c r="IO252" s="133"/>
      <c r="IP252" s="133"/>
      <c r="IQ252" s="133"/>
      <c r="IR252" s="133"/>
      <c r="IS252" s="133"/>
      <c r="IT252" s="133"/>
      <c r="IU252" s="133"/>
      <c r="IV252" s="133"/>
    </row>
    <row r="253" spans="1:256" s="132" customFormat="1" ht="13.8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GE253" s="133"/>
      <c r="GF253" s="133"/>
      <c r="GG253" s="133"/>
      <c r="GH253" s="133"/>
      <c r="GI253" s="133"/>
      <c r="GJ253" s="133"/>
      <c r="GK253" s="133"/>
      <c r="GL253" s="133"/>
      <c r="GM253" s="133"/>
      <c r="GN253" s="133"/>
      <c r="GO253" s="133"/>
      <c r="GP253" s="133"/>
      <c r="GQ253" s="133"/>
      <c r="GR253" s="133"/>
      <c r="GS253" s="133"/>
      <c r="GT253" s="133"/>
      <c r="GU253" s="133"/>
      <c r="GV253" s="133"/>
      <c r="GW253" s="133"/>
      <c r="GX253" s="133"/>
      <c r="GY253" s="133"/>
      <c r="GZ253" s="133"/>
      <c r="HA253" s="133"/>
      <c r="HB253" s="133"/>
      <c r="HC253" s="133"/>
      <c r="HD253" s="133"/>
      <c r="HE253" s="133"/>
      <c r="HF253" s="133"/>
      <c r="HG253" s="133"/>
      <c r="HH253" s="133"/>
      <c r="HI253" s="133"/>
      <c r="HJ253" s="133"/>
      <c r="HK253" s="133"/>
      <c r="HL253" s="133"/>
      <c r="HM253" s="133"/>
      <c r="HN253" s="133"/>
      <c r="HO253" s="133"/>
      <c r="HP253" s="133"/>
      <c r="HQ253" s="133"/>
      <c r="HR253" s="133"/>
      <c r="HS253" s="133"/>
      <c r="HT253" s="133"/>
      <c r="HU253" s="133"/>
      <c r="HV253" s="133"/>
      <c r="HW253" s="133"/>
      <c r="HX253" s="133"/>
      <c r="HY253" s="133"/>
      <c r="HZ253" s="133"/>
      <c r="IA253" s="133"/>
      <c r="IB253" s="133"/>
      <c r="IC253" s="133"/>
      <c r="ID253" s="133"/>
      <c r="IE253" s="133"/>
      <c r="IF253" s="133"/>
      <c r="IG253" s="133"/>
      <c r="IH253" s="133"/>
      <c r="II253" s="133"/>
      <c r="IJ253" s="133"/>
      <c r="IK253" s="133"/>
      <c r="IL253" s="133"/>
      <c r="IM253" s="133"/>
      <c r="IN253" s="133"/>
      <c r="IO253" s="133"/>
      <c r="IP253" s="133"/>
      <c r="IQ253" s="133"/>
      <c r="IR253" s="133"/>
      <c r="IS253" s="133"/>
      <c r="IT253" s="133"/>
      <c r="IU253" s="133"/>
      <c r="IV253" s="133"/>
    </row>
    <row r="254" spans="1:256" s="132" customFormat="1" ht="13.8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GE254" s="133"/>
      <c r="GF254" s="133"/>
      <c r="GG254" s="133"/>
      <c r="GH254" s="133"/>
      <c r="GI254" s="133"/>
      <c r="GJ254" s="133"/>
      <c r="GK254" s="133"/>
      <c r="GL254" s="133"/>
      <c r="GM254" s="133"/>
      <c r="GN254" s="133"/>
      <c r="GO254" s="133"/>
      <c r="GP254" s="133"/>
      <c r="GQ254" s="133"/>
      <c r="GR254" s="133"/>
      <c r="GS254" s="133"/>
      <c r="GT254" s="133"/>
      <c r="GU254" s="133"/>
      <c r="GV254" s="133"/>
      <c r="GW254" s="133"/>
      <c r="GX254" s="133"/>
      <c r="GY254" s="133"/>
      <c r="GZ254" s="133"/>
      <c r="HA254" s="133"/>
      <c r="HB254" s="133"/>
      <c r="HC254" s="133"/>
      <c r="HD254" s="133"/>
      <c r="HE254" s="133"/>
      <c r="HF254" s="133"/>
      <c r="HG254" s="133"/>
      <c r="HH254" s="133"/>
      <c r="HI254" s="133"/>
      <c r="HJ254" s="133"/>
      <c r="HK254" s="133"/>
      <c r="HL254" s="133"/>
      <c r="HM254" s="133"/>
      <c r="HN254" s="133"/>
      <c r="HO254" s="133"/>
      <c r="HP254" s="133"/>
      <c r="HQ254" s="133"/>
      <c r="HR254" s="133"/>
      <c r="HS254" s="133"/>
      <c r="HT254" s="133"/>
      <c r="HU254" s="133"/>
      <c r="HV254" s="133"/>
      <c r="HW254" s="133"/>
      <c r="HX254" s="133"/>
      <c r="HY254" s="133"/>
      <c r="HZ254" s="133"/>
      <c r="IA254" s="133"/>
      <c r="IB254" s="133"/>
      <c r="IC254" s="133"/>
      <c r="ID254" s="133"/>
      <c r="IE254" s="133"/>
      <c r="IF254" s="133"/>
      <c r="IG254" s="133"/>
      <c r="IH254" s="133"/>
      <c r="II254" s="133"/>
      <c r="IJ254" s="133"/>
      <c r="IK254" s="133"/>
      <c r="IL254" s="133"/>
      <c r="IM254" s="133"/>
      <c r="IN254" s="133"/>
      <c r="IO254" s="133"/>
      <c r="IP254" s="133"/>
      <c r="IQ254" s="133"/>
      <c r="IR254" s="133"/>
      <c r="IS254" s="133"/>
      <c r="IT254" s="133"/>
      <c r="IU254" s="133"/>
      <c r="IV254" s="133"/>
    </row>
    <row r="255" spans="1:256" s="132" customFormat="1" ht="13.8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GE255" s="133"/>
      <c r="GF255" s="133"/>
      <c r="GG255" s="133"/>
      <c r="GH255" s="133"/>
      <c r="GI255" s="133"/>
      <c r="GJ255" s="133"/>
      <c r="GK255" s="133"/>
      <c r="GL255" s="133"/>
      <c r="GM255" s="133"/>
      <c r="GN255" s="133"/>
      <c r="GO255" s="133"/>
      <c r="GP255" s="133"/>
      <c r="GQ255" s="133"/>
      <c r="GR255" s="133"/>
      <c r="GS255" s="133"/>
      <c r="GT255" s="133"/>
      <c r="GU255" s="133"/>
      <c r="GV255" s="133"/>
      <c r="GW255" s="133"/>
      <c r="GX255" s="133"/>
      <c r="GY255" s="133"/>
      <c r="GZ255" s="133"/>
      <c r="HA255" s="133"/>
      <c r="HB255" s="133"/>
      <c r="HC255" s="133"/>
      <c r="HD255" s="133"/>
      <c r="HE255" s="133"/>
      <c r="HF255" s="133"/>
      <c r="HG255" s="133"/>
      <c r="HH255" s="133"/>
      <c r="HI255" s="133"/>
      <c r="HJ255" s="133"/>
      <c r="HK255" s="133"/>
      <c r="HL255" s="133"/>
      <c r="HM255" s="133"/>
      <c r="HN255" s="133"/>
      <c r="HO255" s="133"/>
      <c r="HP255" s="133"/>
      <c r="HQ255" s="133"/>
      <c r="HR255" s="133"/>
      <c r="HS255" s="133"/>
      <c r="HT255" s="133"/>
      <c r="HU255" s="133"/>
      <c r="HV255" s="133"/>
      <c r="HW255" s="133"/>
      <c r="HX255" s="133"/>
      <c r="HY255" s="133"/>
      <c r="HZ255" s="133"/>
      <c r="IA255" s="133"/>
      <c r="IB255" s="133"/>
      <c r="IC255" s="133"/>
      <c r="ID255" s="133"/>
      <c r="IE255" s="133"/>
      <c r="IF255" s="133"/>
      <c r="IG255" s="133"/>
      <c r="IH255" s="133"/>
      <c r="II255" s="133"/>
      <c r="IJ255" s="133"/>
      <c r="IK255" s="133"/>
      <c r="IL255" s="133"/>
      <c r="IM255" s="133"/>
      <c r="IN255" s="133"/>
      <c r="IO255" s="133"/>
      <c r="IP255" s="133"/>
      <c r="IQ255" s="133"/>
      <c r="IR255" s="133"/>
      <c r="IS255" s="133"/>
      <c r="IT255" s="133"/>
      <c r="IU255" s="133"/>
      <c r="IV255" s="133"/>
    </row>
    <row r="256" spans="1:256" s="132" customFormat="1" ht="13.8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GE256" s="133"/>
      <c r="GF256" s="133"/>
      <c r="GG256" s="133"/>
      <c r="GH256" s="133"/>
      <c r="GI256" s="133"/>
      <c r="GJ256" s="133"/>
      <c r="GK256" s="133"/>
      <c r="GL256" s="133"/>
      <c r="GM256" s="133"/>
      <c r="GN256" s="133"/>
      <c r="GO256" s="133"/>
      <c r="GP256" s="133"/>
      <c r="GQ256" s="133"/>
      <c r="GR256" s="133"/>
      <c r="GS256" s="133"/>
      <c r="GT256" s="133"/>
      <c r="GU256" s="133"/>
      <c r="GV256" s="133"/>
      <c r="GW256" s="133"/>
      <c r="GX256" s="133"/>
      <c r="GY256" s="133"/>
      <c r="GZ256" s="133"/>
      <c r="HA256" s="133"/>
      <c r="HB256" s="133"/>
      <c r="HC256" s="133"/>
      <c r="HD256" s="133"/>
      <c r="HE256" s="133"/>
      <c r="HF256" s="133"/>
      <c r="HG256" s="133"/>
      <c r="HH256" s="133"/>
      <c r="HI256" s="133"/>
      <c r="HJ256" s="133"/>
      <c r="HK256" s="133"/>
      <c r="HL256" s="133"/>
      <c r="HM256" s="133"/>
      <c r="HN256" s="133"/>
      <c r="HO256" s="133"/>
      <c r="HP256" s="133"/>
      <c r="HQ256" s="133"/>
      <c r="HR256" s="133"/>
      <c r="HS256" s="133"/>
      <c r="HT256" s="133"/>
      <c r="HU256" s="133"/>
      <c r="HV256" s="133"/>
      <c r="HW256" s="133"/>
      <c r="HX256" s="133"/>
      <c r="HY256" s="133"/>
      <c r="HZ256" s="133"/>
      <c r="IA256" s="133"/>
      <c r="IB256" s="133"/>
      <c r="IC256" s="133"/>
      <c r="ID256" s="133"/>
      <c r="IE256" s="133"/>
      <c r="IF256" s="133"/>
      <c r="IG256" s="133"/>
      <c r="IH256" s="133"/>
      <c r="II256" s="133"/>
      <c r="IJ256" s="133"/>
      <c r="IK256" s="133"/>
      <c r="IL256" s="133"/>
      <c r="IM256" s="133"/>
      <c r="IN256" s="133"/>
      <c r="IO256" s="133"/>
      <c r="IP256" s="133"/>
      <c r="IQ256" s="133"/>
      <c r="IR256" s="133"/>
      <c r="IS256" s="133"/>
      <c r="IT256" s="133"/>
      <c r="IU256" s="133"/>
      <c r="IV256" s="133"/>
    </row>
    <row r="257" spans="1:256" s="132" customFormat="1" ht="13.8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GE257" s="133"/>
      <c r="GF257" s="133"/>
      <c r="GG257" s="133"/>
      <c r="GH257" s="133"/>
      <c r="GI257" s="133"/>
      <c r="GJ257" s="133"/>
      <c r="GK257" s="133"/>
      <c r="GL257" s="133"/>
      <c r="GM257" s="133"/>
      <c r="GN257" s="133"/>
      <c r="GO257" s="133"/>
      <c r="GP257" s="133"/>
      <c r="GQ257" s="133"/>
      <c r="GR257" s="133"/>
      <c r="GS257" s="133"/>
      <c r="GT257" s="133"/>
      <c r="GU257" s="133"/>
      <c r="GV257" s="133"/>
      <c r="GW257" s="133"/>
      <c r="GX257" s="133"/>
      <c r="GY257" s="133"/>
      <c r="GZ257" s="133"/>
      <c r="HA257" s="133"/>
      <c r="HB257" s="133"/>
      <c r="HC257" s="133"/>
      <c r="HD257" s="133"/>
      <c r="HE257" s="133"/>
      <c r="HF257" s="133"/>
      <c r="HG257" s="133"/>
      <c r="HH257" s="133"/>
      <c r="HI257" s="133"/>
      <c r="HJ257" s="133"/>
      <c r="HK257" s="133"/>
      <c r="HL257" s="133"/>
      <c r="HM257" s="133"/>
      <c r="HN257" s="133"/>
      <c r="HO257" s="133"/>
      <c r="HP257" s="133"/>
      <c r="HQ257" s="133"/>
      <c r="HR257" s="133"/>
      <c r="HS257" s="133"/>
      <c r="HT257" s="133"/>
      <c r="HU257" s="133"/>
      <c r="HV257" s="133"/>
      <c r="HW257" s="133"/>
      <c r="HX257" s="133"/>
      <c r="HY257" s="133"/>
      <c r="HZ257" s="133"/>
      <c r="IA257" s="133"/>
      <c r="IB257" s="133"/>
      <c r="IC257" s="133"/>
      <c r="ID257" s="133"/>
      <c r="IE257" s="133"/>
      <c r="IF257" s="133"/>
      <c r="IG257" s="133"/>
      <c r="IH257" s="133"/>
      <c r="II257" s="133"/>
      <c r="IJ257" s="133"/>
      <c r="IK257" s="133"/>
      <c r="IL257" s="133"/>
      <c r="IM257" s="133"/>
      <c r="IN257" s="133"/>
      <c r="IO257" s="133"/>
      <c r="IP257" s="133"/>
      <c r="IQ257" s="133"/>
      <c r="IR257" s="133"/>
      <c r="IS257" s="133"/>
      <c r="IT257" s="133"/>
      <c r="IU257" s="133"/>
      <c r="IV257" s="133"/>
    </row>
    <row r="258" spans="1:256" s="132" customFormat="1" ht="13.8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GE258" s="133"/>
      <c r="GF258" s="133"/>
      <c r="GG258" s="133"/>
      <c r="GH258" s="133"/>
      <c r="GI258" s="133"/>
      <c r="GJ258" s="133"/>
      <c r="GK258" s="133"/>
      <c r="GL258" s="133"/>
      <c r="GM258" s="133"/>
      <c r="GN258" s="133"/>
      <c r="GO258" s="133"/>
      <c r="GP258" s="133"/>
      <c r="GQ258" s="133"/>
      <c r="GR258" s="133"/>
      <c r="GS258" s="133"/>
      <c r="GT258" s="133"/>
      <c r="GU258" s="133"/>
      <c r="GV258" s="133"/>
      <c r="GW258" s="133"/>
      <c r="GX258" s="133"/>
      <c r="GY258" s="133"/>
      <c r="GZ258" s="133"/>
      <c r="HA258" s="133"/>
      <c r="HB258" s="133"/>
      <c r="HC258" s="133"/>
      <c r="HD258" s="133"/>
      <c r="HE258" s="133"/>
      <c r="HF258" s="133"/>
      <c r="HG258" s="133"/>
      <c r="HH258" s="133"/>
      <c r="HI258" s="133"/>
      <c r="HJ258" s="133"/>
      <c r="HK258" s="133"/>
      <c r="HL258" s="133"/>
      <c r="HM258" s="133"/>
      <c r="HN258" s="133"/>
      <c r="HO258" s="133"/>
      <c r="HP258" s="133"/>
      <c r="HQ258" s="133"/>
      <c r="HR258" s="133"/>
      <c r="HS258" s="133"/>
      <c r="HT258" s="133"/>
      <c r="HU258" s="133"/>
      <c r="HV258" s="133"/>
      <c r="HW258" s="133"/>
      <c r="HX258" s="133"/>
      <c r="HY258" s="133"/>
      <c r="HZ258" s="133"/>
      <c r="IA258" s="133"/>
      <c r="IB258" s="133"/>
      <c r="IC258" s="133"/>
      <c r="ID258" s="133"/>
      <c r="IE258" s="133"/>
      <c r="IF258" s="133"/>
      <c r="IG258" s="133"/>
      <c r="IH258" s="133"/>
      <c r="II258" s="133"/>
      <c r="IJ258" s="133"/>
      <c r="IK258" s="133"/>
      <c r="IL258" s="133"/>
      <c r="IM258" s="133"/>
      <c r="IN258" s="133"/>
      <c r="IO258" s="133"/>
      <c r="IP258" s="133"/>
      <c r="IQ258" s="133"/>
      <c r="IR258" s="133"/>
      <c r="IS258" s="133"/>
      <c r="IT258" s="133"/>
      <c r="IU258" s="133"/>
      <c r="IV258" s="133"/>
    </row>
    <row r="259" spans="1:256" s="132" customFormat="1" ht="13.8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GE259" s="133"/>
      <c r="GF259" s="133"/>
      <c r="GG259" s="133"/>
      <c r="GH259" s="133"/>
      <c r="GI259" s="133"/>
      <c r="GJ259" s="133"/>
      <c r="GK259" s="133"/>
      <c r="GL259" s="133"/>
      <c r="GM259" s="133"/>
      <c r="GN259" s="133"/>
      <c r="GO259" s="133"/>
      <c r="GP259" s="133"/>
      <c r="GQ259" s="133"/>
      <c r="GR259" s="133"/>
      <c r="GS259" s="133"/>
      <c r="GT259" s="133"/>
      <c r="GU259" s="133"/>
      <c r="GV259" s="133"/>
      <c r="GW259" s="133"/>
      <c r="GX259" s="133"/>
      <c r="GY259" s="133"/>
      <c r="GZ259" s="133"/>
      <c r="HA259" s="133"/>
      <c r="HB259" s="133"/>
      <c r="HC259" s="133"/>
      <c r="HD259" s="133"/>
      <c r="HE259" s="133"/>
      <c r="HF259" s="133"/>
      <c r="HG259" s="133"/>
      <c r="HH259" s="133"/>
      <c r="HI259" s="133"/>
      <c r="HJ259" s="133"/>
      <c r="HK259" s="133"/>
      <c r="HL259" s="133"/>
      <c r="HM259" s="133"/>
      <c r="HN259" s="133"/>
      <c r="HO259" s="133"/>
      <c r="HP259" s="133"/>
      <c r="HQ259" s="133"/>
      <c r="HR259" s="133"/>
      <c r="HS259" s="133"/>
      <c r="HT259" s="133"/>
      <c r="HU259" s="133"/>
      <c r="HV259" s="133"/>
      <c r="HW259" s="133"/>
      <c r="HX259" s="133"/>
      <c r="HY259" s="133"/>
      <c r="HZ259" s="133"/>
      <c r="IA259" s="133"/>
      <c r="IB259" s="133"/>
      <c r="IC259" s="133"/>
      <c r="ID259" s="133"/>
      <c r="IE259" s="133"/>
      <c r="IF259" s="133"/>
      <c r="IG259" s="133"/>
      <c r="IH259" s="133"/>
      <c r="II259" s="133"/>
      <c r="IJ259" s="133"/>
      <c r="IK259" s="133"/>
      <c r="IL259" s="133"/>
      <c r="IM259" s="133"/>
      <c r="IN259" s="133"/>
      <c r="IO259" s="133"/>
      <c r="IP259" s="133"/>
      <c r="IQ259" s="133"/>
      <c r="IR259" s="133"/>
      <c r="IS259" s="133"/>
      <c r="IT259" s="133"/>
      <c r="IU259" s="133"/>
      <c r="IV259" s="133"/>
    </row>
    <row r="260" spans="1:256" s="132" customFormat="1" ht="13.8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GE260" s="133"/>
      <c r="GF260" s="133"/>
      <c r="GG260" s="133"/>
      <c r="GH260" s="133"/>
      <c r="GI260" s="133"/>
      <c r="GJ260" s="133"/>
      <c r="GK260" s="133"/>
      <c r="GL260" s="133"/>
      <c r="GM260" s="133"/>
      <c r="GN260" s="133"/>
      <c r="GO260" s="133"/>
      <c r="GP260" s="133"/>
      <c r="GQ260" s="133"/>
      <c r="GR260" s="133"/>
      <c r="GS260" s="133"/>
      <c r="GT260" s="133"/>
      <c r="GU260" s="133"/>
      <c r="GV260" s="133"/>
      <c r="GW260" s="133"/>
      <c r="GX260" s="133"/>
      <c r="GY260" s="133"/>
      <c r="GZ260" s="133"/>
      <c r="HA260" s="133"/>
      <c r="HB260" s="133"/>
      <c r="HC260" s="133"/>
      <c r="HD260" s="133"/>
      <c r="HE260" s="133"/>
      <c r="HF260" s="133"/>
      <c r="HG260" s="133"/>
      <c r="HH260" s="133"/>
      <c r="HI260" s="133"/>
      <c r="HJ260" s="133"/>
      <c r="HK260" s="133"/>
      <c r="HL260" s="133"/>
      <c r="HM260" s="133"/>
      <c r="HN260" s="133"/>
      <c r="HO260" s="133"/>
      <c r="HP260" s="133"/>
      <c r="HQ260" s="133"/>
      <c r="HR260" s="133"/>
      <c r="HS260" s="133"/>
      <c r="HT260" s="133"/>
      <c r="HU260" s="133"/>
      <c r="HV260" s="133"/>
      <c r="HW260" s="133"/>
      <c r="HX260" s="133"/>
      <c r="HY260" s="133"/>
      <c r="HZ260" s="133"/>
      <c r="IA260" s="133"/>
      <c r="IB260" s="133"/>
      <c r="IC260" s="133"/>
      <c r="ID260" s="133"/>
      <c r="IE260" s="133"/>
      <c r="IF260" s="133"/>
      <c r="IG260" s="133"/>
      <c r="IH260" s="133"/>
      <c r="II260" s="133"/>
      <c r="IJ260" s="133"/>
      <c r="IK260" s="133"/>
      <c r="IL260" s="133"/>
      <c r="IM260" s="133"/>
      <c r="IN260" s="133"/>
      <c r="IO260" s="133"/>
      <c r="IP260" s="133"/>
      <c r="IQ260" s="133"/>
      <c r="IR260" s="133"/>
      <c r="IS260" s="133"/>
      <c r="IT260" s="133"/>
      <c r="IU260" s="133"/>
      <c r="IV260" s="133"/>
    </row>
    <row r="261" spans="1:256" s="132" customFormat="1" ht="13.8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GE261" s="133"/>
      <c r="GF261" s="133"/>
      <c r="GG261" s="133"/>
      <c r="GH261" s="133"/>
      <c r="GI261" s="133"/>
      <c r="GJ261" s="133"/>
      <c r="GK261" s="133"/>
      <c r="GL261" s="133"/>
      <c r="GM261" s="133"/>
      <c r="GN261" s="133"/>
      <c r="GO261" s="133"/>
      <c r="GP261" s="133"/>
      <c r="GQ261" s="133"/>
      <c r="GR261" s="133"/>
      <c r="GS261" s="133"/>
      <c r="GT261" s="133"/>
      <c r="GU261" s="133"/>
      <c r="GV261" s="133"/>
      <c r="GW261" s="133"/>
      <c r="GX261" s="133"/>
      <c r="GY261" s="133"/>
      <c r="GZ261" s="133"/>
      <c r="HA261" s="133"/>
      <c r="HB261" s="133"/>
      <c r="HC261" s="133"/>
      <c r="HD261" s="133"/>
      <c r="HE261" s="133"/>
      <c r="HF261" s="133"/>
      <c r="HG261" s="133"/>
      <c r="HH261" s="133"/>
      <c r="HI261" s="133"/>
      <c r="HJ261" s="133"/>
      <c r="HK261" s="133"/>
      <c r="HL261" s="133"/>
      <c r="HM261" s="133"/>
      <c r="HN261" s="133"/>
      <c r="HO261" s="133"/>
      <c r="HP261" s="133"/>
      <c r="HQ261" s="133"/>
      <c r="HR261" s="133"/>
      <c r="HS261" s="133"/>
      <c r="HT261" s="133"/>
      <c r="HU261" s="133"/>
      <c r="HV261" s="133"/>
      <c r="HW261" s="133"/>
      <c r="HX261" s="133"/>
      <c r="HY261" s="133"/>
      <c r="HZ261" s="133"/>
      <c r="IA261" s="133"/>
      <c r="IB261" s="133"/>
      <c r="IC261" s="133"/>
      <c r="ID261" s="133"/>
      <c r="IE261" s="133"/>
      <c r="IF261" s="133"/>
      <c r="IG261" s="133"/>
      <c r="IH261" s="133"/>
      <c r="II261" s="133"/>
      <c r="IJ261" s="133"/>
      <c r="IK261" s="133"/>
      <c r="IL261" s="133"/>
      <c r="IM261" s="133"/>
      <c r="IN261" s="133"/>
      <c r="IO261" s="133"/>
      <c r="IP261" s="133"/>
      <c r="IQ261" s="133"/>
      <c r="IR261" s="133"/>
      <c r="IS261" s="133"/>
      <c r="IT261" s="133"/>
      <c r="IU261" s="133"/>
      <c r="IV261" s="133"/>
    </row>
    <row r="262" spans="1:256" s="132" customFormat="1" ht="13.8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GE262" s="133"/>
      <c r="GF262" s="133"/>
      <c r="GG262" s="133"/>
      <c r="GH262" s="133"/>
      <c r="GI262" s="133"/>
      <c r="GJ262" s="133"/>
      <c r="GK262" s="133"/>
      <c r="GL262" s="133"/>
      <c r="GM262" s="133"/>
      <c r="GN262" s="133"/>
      <c r="GO262" s="133"/>
      <c r="GP262" s="133"/>
      <c r="GQ262" s="133"/>
      <c r="GR262" s="133"/>
      <c r="GS262" s="133"/>
      <c r="GT262" s="133"/>
      <c r="GU262" s="133"/>
      <c r="GV262" s="133"/>
      <c r="GW262" s="133"/>
      <c r="GX262" s="133"/>
      <c r="GY262" s="133"/>
      <c r="GZ262" s="133"/>
      <c r="HA262" s="133"/>
      <c r="HB262" s="133"/>
      <c r="HC262" s="133"/>
      <c r="HD262" s="133"/>
      <c r="HE262" s="133"/>
      <c r="HF262" s="133"/>
      <c r="HG262" s="133"/>
      <c r="HH262" s="133"/>
      <c r="HI262" s="133"/>
      <c r="HJ262" s="133"/>
      <c r="HK262" s="133"/>
      <c r="HL262" s="133"/>
      <c r="HM262" s="133"/>
      <c r="HN262" s="133"/>
      <c r="HO262" s="133"/>
      <c r="HP262" s="133"/>
      <c r="HQ262" s="133"/>
      <c r="HR262" s="133"/>
      <c r="HS262" s="133"/>
      <c r="HT262" s="133"/>
      <c r="HU262" s="133"/>
      <c r="HV262" s="133"/>
      <c r="HW262" s="133"/>
      <c r="HX262" s="133"/>
      <c r="HY262" s="133"/>
      <c r="HZ262" s="133"/>
      <c r="IA262" s="133"/>
      <c r="IB262" s="133"/>
      <c r="IC262" s="133"/>
      <c r="ID262" s="133"/>
      <c r="IE262" s="133"/>
      <c r="IF262" s="133"/>
      <c r="IG262" s="133"/>
      <c r="IH262" s="133"/>
      <c r="II262" s="133"/>
      <c r="IJ262" s="133"/>
      <c r="IK262" s="133"/>
      <c r="IL262" s="133"/>
      <c r="IM262" s="133"/>
      <c r="IN262" s="133"/>
      <c r="IO262" s="133"/>
      <c r="IP262" s="133"/>
      <c r="IQ262" s="133"/>
      <c r="IR262" s="133"/>
      <c r="IS262" s="133"/>
      <c r="IT262" s="133"/>
      <c r="IU262" s="133"/>
      <c r="IV262" s="133"/>
    </row>
    <row r="263" spans="1:256" s="132" customFormat="1" ht="13.8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GE263" s="133"/>
      <c r="GF263" s="133"/>
      <c r="GG263" s="133"/>
      <c r="GH263" s="133"/>
      <c r="GI263" s="133"/>
      <c r="GJ263" s="133"/>
      <c r="GK263" s="133"/>
      <c r="GL263" s="133"/>
      <c r="GM263" s="133"/>
      <c r="GN263" s="133"/>
      <c r="GO263" s="133"/>
      <c r="GP263" s="133"/>
      <c r="GQ263" s="133"/>
      <c r="GR263" s="133"/>
      <c r="GS263" s="133"/>
      <c r="GT263" s="133"/>
      <c r="GU263" s="133"/>
      <c r="GV263" s="133"/>
      <c r="GW263" s="133"/>
      <c r="GX263" s="133"/>
      <c r="GY263" s="133"/>
      <c r="GZ263" s="133"/>
      <c r="HA263" s="133"/>
      <c r="HB263" s="133"/>
      <c r="HC263" s="133"/>
      <c r="HD263" s="133"/>
      <c r="HE263" s="133"/>
      <c r="HF263" s="133"/>
      <c r="HG263" s="133"/>
      <c r="HH263" s="133"/>
      <c r="HI263" s="133"/>
      <c r="HJ263" s="133"/>
      <c r="HK263" s="133"/>
      <c r="HL263" s="133"/>
      <c r="HM263" s="133"/>
      <c r="HN263" s="133"/>
      <c r="HO263" s="133"/>
      <c r="HP263" s="133"/>
      <c r="HQ263" s="133"/>
      <c r="HR263" s="133"/>
      <c r="HS263" s="133"/>
      <c r="HT263" s="133"/>
      <c r="HU263" s="133"/>
      <c r="HV263" s="133"/>
      <c r="HW263" s="133"/>
      <c r="HX263" s="133"/>
      <c r="HY263" s="133"/>
      <c r="HZ263" s="133"/>
      <c r="IA263" s="133"/>
      <c r="IB263" s="133"/>
      <c r="IC263" s="133"/>
      <c r="ID263" s="133"/>
      <c r="IE263" s="133"/>
      <c r="IF263" s="133"/>
      <c r="IG263" s="133"/>
      <c r="IH263" s="133"/>
      <c r="II263" s="133"/>
      <c r="IJ263" s="133"/>
      <c r="IK263" s="133"/>
      <c r="IL263" s="133"/>
      <c r="IM263" s="133"/>
      <c r="IN263" s="133"/>
      <c r="IO263" s="133"/>
      <c r="IP263" s="133"/>
      <c r="IQ263" s="133"/>
      <c r="IR263" s="133"/>
      <c r="IS263" s="133"/>
      <c r="IT263" s="133"/>
      <c r="IU263" s="133"/>
      <c r="IV263" s="133"/>
    </row>
    <row r="264" spans="1:256" s="132" customFormat="1" ht="13.8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GE264" s="133"/>
      <c r="GF264" s="133"/>
      <c r="GG264" s="133"/>
      <c r="GH264" s="133"/>
      <c r="GI264" s="133"/>
      <c r="GJ264" s="133"/>
      <c r="GK264" s="133"/>
      <c r="GL264" s="133"/>
      <c r="GM264" s="133"/>
      <c r="GN264" s="133"/>
      <c r="GO264" s="133"/>
      <c r="GP264" s="133"/>
      <c r="GQ264" s="133"/>
      <c r="GR264" s="133"/>
      <c r="GS264" s="133"/>
      <c r="GT264" s="133"/>
      <c r="GU264" s="133"/>
      <c r="GV264" s="133"/>
      <c r="GW264" s="133"/>
      <c r="GX264" s="133"/>
      <c r="GY264" s="133"/>
      <c r="GZ264" s="133"/>
      <c r="HA264" s="133"/>
      <c r="HB264" s="133"/>
      <c r="HC264" s="133"/>
      <c r="HD264" s="133"/>
      <c r="HE264" s="133"/>
      <c r="HF264" s="133"/>
      <c r="HG264" s="133"/>
      <c r="HH264" s="133"/>
      <c r="HI264" s="133"/>
      <c r="HJ264" s="133"/>
      <c r="HK264" s="133"/>
      <c r="HL264" s="133"/>
      <c r="HM264" s="133"/>
      <c r="HN264" s="133"/>
      <c r="HO264" s="133"/>
      <c r="HP264" s="133"/>
      <c r="HQ264" s="133"/>
      <c r="HR264" s="133"/>
      <c r="HS264" s="133"/>
      <c r="HT264" s="133"/>
      <c r="HU264" s="133"/>
      <c r="HV264" s="133"/>
      <c r="HW264" s="133"/>
      <c r="HX264" s="133"/>
      <c r="HY264" s="133"/>
      <c r="HZ264" s="133"/>
      <c r="IA264" s="133"/>
      <c r="IB264" s="133"/>
      <c r="IC264" s="133"/>
      <c r="ID264" s="133"/>
      <c r="IE264" s="133"/>
      <c r="IF264" s="133"/>
      <c r="IG264" s="133"/>
      <c r="IH264" s="133"/>
      <c r="II264" s="133"/>
      <c r="IJ264" s="133"/>
      <c r="IK264" s="133"/>
      <c r="IL264" s="133"/>
      <c r="IM264" s="133"/>
      <c r="IN264" s="133"/>
      <c r="IO264" s="133"/>
      <c r="IP264" s="133"/>
      <c r="IQ264" s="133"/>
      <c r="IR264" s="133"/>
      <c r="IS264" s="133"/>
      <c r="IT264" s="133"/>
      <c r="IU264" s="133"/>
      <c r="IV264" s="133"/>
    </row>
    <row r="265" spans="1:256" s="132" customFormat="1" ht="13.8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GE265" s="133"/>
      <c r="GF265" s="133"/>
      <c r="GG265" s="133"/>
      <c r="GH265" s="133"/>
      <c r="GI265" s="133"/>
      <c r="GJ265" s="133"/>
      <c r="GK265" s="133"/>
      <c r="GL265" s="133"/>
      <c r="GM265" s="133"/>
      <c r="GN265" s="133"/>
      <c r="GO265" s="133"/>
      <c r="GP265" s="133"/>
      <c r="GQ265" s="133"/>
      <c r="GR265" s="133"/>
      <c r="GS265" s="133"/>
      <c r="GT265" s="133"/>
      <c r="GU265" s="133"/>
      <c r="GV265" s="133"/>
      <c r="GW265" s="133"/>
      <c r="GX265" s="133"/>
      <c r="GY265" s="133"/>
      <c r="GZ265" s="133"/>
      <c r="HA265" s="133"/>
      <c r="HB265" s="133"/>
      <c r="HC265" s="133"/>
      <c r="HD265" s="133"/>
      <c r="HE265" s="133"/>
      <c r="HF265" s="133"/>
      <c r="HG265" s="133"/>
      <c r="HH265" s="133"/>
      <c r="HI265" s="133"/>
      <c r="HJ265" s="133"/>
      <c r="HK265" s="133"/>
      <c r="HL265" s="133"/>
      <c r="HM265" s="133"/>
      <c r="HN265" s="133"/>
      <c r="HO265" s="133"/>
      <c r="HP265" s="133"/>
      <c r="HQ265" s="133"/>
      <c r="HR265" s="133"/>
      <c r="HS265" s="133"/>
      <c r="HT265" s="133"/>
      <c r="HU265" s="133"/>
      <c r="HV265" s="133"/>
      <c r="HW265" s="133"/>
      <c r="HX265" s="133"/>
      <c r="HY265" s="133"/>
      <c r="HZ265" s="133"/>
      <c r="IA265" s="133"/>
      <c r="IB265" s="133"/>
      <c r="IC265" s="133"/>
      <c r="ID265" s="133"/>
      <c r="IE265" s="133"/>
      <c r="IF265" s="133"/>
      <c r="IG265" s="133"/>
      <c r="IH265" s="133"/>
      <c r="II265" s="133"/>
      <c r="IJ265" s="133"/>
      <c r="IK265" s="133"/>
      <c r="IL265" s="133"/>
      <c r="IM265" s="133"/>
      <c r="IN265" s="133"/>
      <c r="IO265" s="133"/>
      <c r="IP265" s="133"/>
      <c r="IQ265" s="133"/>
      <c r="IR265" s="133"/>
      <c r="IS265" s="133"/>
      <c r="IT265" s="133"/>
      <c r="IU265" s="133"/>
      <c r="IV265" s="133"/>
    </row>
    <row r="266" spans="1:256" s="132" customFormat="1" ht="13.8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GE266" s="133"/>
      <c r="GF266" s="133"/>
      <c r="GG266" s="133"/>
      <c r="GH266" s="133"/>
      <c r="GI266" s="133"/>
      <c r="GJ266" s="133"/>
      <c r="GK266" s="133"/>
      <c r="GL266" s="133"/>
      <c r="GM266" s="133"/>
      <c r="GN266" s="133"/>
      <c r="GO266" s="133"/>
      <c r="GP266" s="133"/>
      <c r="GQ266" s="133"/>
      <c r="GR266" s="133"/>
      <c r="GS266" s="133"/>
      <c r="GT266" s="133"/>
      <c r="GU266" s="133"/>
      <c r="GV266" s="133"/>
      <c r="GW266" s="133"/>
      <c r="GX266" s="133"/>
      <c r="GY266" s="133"/>
      <c r="GZ266" s="133"/>
      <c r="HA266" s="133"/>
      <c r="HB266" s="133"/>
      <c r="HC266" s="133"/>
      <c r="HD266" s="133"/>
      <c r="HE266" s="133"/>
      <c r="HF266" s="133"/>
      <c r="HG266" s="133"/>
      <c r="HH266" s="133"/>
      <c r="HI266" s="133"/>
      <c r="HJ266" s="133"/>
      <c r="HK266" s="133"/>
      <c r="HL266" s="133"/>
      <c r="HM266" s="133"/>
      <c r="HN266" s="133"/>
      <c r="HO266" s="133"/>
      <c r="HP266" s="133"/>
      <c r="HQ266" s="133"/>
      <c r="HR266" s="133"/>
      <c r="HS266" s="133"/>
      <c r="HT266" s="133"/>
      <c r="HU266" s="133"/>
      <c r="HV266" s="133"/>
      <c r="HW266" s="133"/>
      <c r="HX266" s="133"/>
      <c r="HY266" s="133"/>
      <c r="HZ266" s="133"/>
      <c r="IA266" s="133"/>
      <c r="IB266" s="133"/>
      <c r="IC266" s="133"/>
      <c r="ID266" s="133"/>
      <c r="IE266" s="133"/>
      <c r="IF266" s="133"/>
      <c r="IG266" s="133"/>
      <c r="IH266" s="133"/>
      <c r="II266" s="133"/>
      <c r="IJ266" s="133"/>
      <c r="IK266" s="133"/>
      <c r="IL266" s="133"/>
      <c r="IM266" s="133"/>
      <c r="IN266" s="133"/>
      <c r="IO266" s="133"/>
      <c r="IP266" s="133"/>
      <c r="IQ266" s="133"/>
      <c r="IR266" s="133"/>
      <c r="IS266" s="133"/>
      <c r="IT266" s="133"/>
      <c r="IU266" s="133"/>
      <c r="IV266" s="133"/>
    </row>
    <row r="267" spans="1:256" s="132" customFormat="1" ht="13.8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GE267" s="133"/>
      <c r="GF267" s="133"/>
      <c r="GG267" s="133"/>
      <c r="GH267" s="133"/>
      <c r="GI267" s="133"/>
      <c r="GJ267" s="133"/>
      <c r="GK267" s="133"/>
      <c r="GL267" s="133"/>
      <c r="GM267" s="133"/>
      <c r="GN267" s="133"/>
      <c r="GO267" s="133"/>
      <c r="GP267" s="133"/>
      <c r="GQ267" s="133"/>
      <c r="GR267" s="133"/>
      <c r="GS267" s="133"/>
      <c r="GT267" s="133"/>
      <c r="GU267" s="133"/>
      <c r="GV267" s="133"/>
      <c r="GW267" s="133"/>
      <c r="GX267" s="133"/>
      <c r="GY267" s="133"/>
      <c r="GZ267" s="133"/>
      <c r="HA267" s="133"/>
      <c r="HB267" s="133"/>
      <c r="HC267" s="133"/>
      <c r="HD267" s="133"/>
      <c r="HE267" s="133"/>
      <c r="HF267" s="133"/>
      <c r="HG267" s="133"/>
      <c r="HH267" s="133"/>
      <c r="HI267" s="133"/>
      <c r="HJ267" s="133"/>
      <c r="HK267" s="133"/>
      <c r="HL267" s="133"/>
      <c r="HM267" s="133"/>
      <c r="HN267" s="133"/>
      <c r="HO267" s="133"/>
      <c r="HP267" s="133"/>
      <c r="HQ267" s="133"/>
      <c r="HR267" s="133"/>
      <c r="HS267" s="133"/>
      <c r="HT267" s="133"/>
      <c r="HU267" s="133"/>
      <c r="HV267" s="133"/>
      <c r="HW267" s="133"/>
      <c r="HX267" s="133"/>
      <c r="HY267" s="133"/>
      <c r="HZ267" s="133"/>
      <c r="IA267" s="133"/>
      <c r="IB267" s="133"/>
      <c r="IC267" s="133"/>
      <c r="ID267" s="133"/>
      <c r="IE267" s="133"/>
      <c r="IF267" s="133"/>
      <c r="IG267" s="133"/>
      <c r="IH267" s="133"/>
      <c r="II267" s="133"/>
      <c r="IJ267" s="133"/>
      <c r="IK267" s="133"/>
      <c r="IL267" s="133"/>
      <c r="IM267" s="133"/>
      <c r="IN267" s="133"/>
      <c r="IO267" s="133"/>
      <c r="IP267" s="133"/>
      <c r="IQ267" s="133"/>
      <c r="IR267" s="133"/>
      <c r="IS267" s="133"/>
      <c r="IT267" s="133"/>
      <c r="IU267" s="133"/>
      <c r="IV267" s="133"/>
    </row>
    <row r="268" spans="1:256" s="132" customFormat="1" ht="13.8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GE268" s="133"/>
      <c r="GF268" s="133"/>
      <c r="GG268" s="133"/>
      <c r="GH268" s="133"/>
      <c r="GI268" s="133"/>
      <c r="GJ268" s="133"/>
      <c r="GK268" s="133"/>
      <c r="GL268" s="133"/>
      <c r="GM268" s="133"/>
      <c r="GN268" s="133"/>
      <c r="GO268" s="133"/>
      <c r="GP268" s="133"/>
      <c r="GQ268" s="133"/>
      <c r="GR268" s="133"/>
      <c r="GS268" s="133"/>
      <c r="GT268" s="133"/>
      <c r="GU268" s="133"/>
      <c r="GV268" s="133"/>
      <c r="GW268" s="133"/>
      <c r="GX268" s="133"/>
      <c r="GY268" s="133"/>
      <c r="GZ268" s="133"/>
      <c r="HA268" s="133"/>
      <c r="HB268" s="133"/>
      <c r="HC268" s="133"/>
      <c r="HD268" s="133"/>
      <c r="HE268" s="133"/>
      <c r="HF268" s="133"/>
      <c r="HG268" s="133"/>
      <c r="HH268" s="133"/>
      <c r="HI268" s="133"/>
      <c r="HJ268" s="133"/>
      <c r="HK268" s="133"/>
      <c r="HL268" s="133"/>
      <c r="HM268" s="133"/>
      <c r="HN268" s="133"/>
      <c r="HO268" s="133"/>
      <c r="HP268" s="133"/>
      <c r="HQ268" s="133"/>
      <c r="HR268" s="133"/>
      <c r="HS268" s="133"/>
      <c r="HT268" s="133"/>
      <c r="HU268" s="133"/>
      <c r="HV268" s="133"/>
      <c r="HW268" s="133"/>
      <c r="HX268" s="133"/>
      <c r="HY268" s="133"/>
      <c r="HZ268" s="133"/>
      <c r="IA268" s="133"/>
      <c r="IB268" s="133"/>
      <c r="IC268" s="133"/>
      <c r="ID268" s="133"/>
      <c r="IE268" s="133"/>
      <c r="IF268" s="133"/>
      <c r="IG268" s="133"/>
      <c r="IH268" s="133"/>
      <c r="II268" s="133"/>
      <c r="IJ268" s="133"/>
      <c r="IK268" s="133"/>
      <c r="IL268" s="133"/>
      <c r="IM268" s="133"/>
      <c r="IN268" s="133"/>
      <c r="IO268" s="133"/>
      <c r="IP268" s="133"/>
      <c r="IQ268" s="133"/>
      <c r="IR268" s="133"/>
      <c r="IS268" s="133"/>
      <c r="IT268" s="133"/>
      <c r="IU268" s="133"/>
      <c r="IV268" s="133"/>
    </row>
    <row r="269" spans="1:256" s="132" customFormat="1" ht="13.8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GE269" s="133"/>
      <c r="GF269" s="133"/>
      <c r="GG269" s="133"/>
      <c r="GH269" s="133"/>
      <c r="GI269" s="133"/>
      <c r="GJ269" s="133"/>
      <c r="GK269" s="133"/>
      <c r="GL269" s="133"/>
      <c r="GM269" s="133"/>
      <c r="GN269" s="133"/>
      <c r="GO269" s="133"/>
      <c r="GP269" s="133"/>
      <c r="GQ269" s="133"/>
      <c r="GR269" s="133"/>
      <c r="GS269" s="133"/>
      <c r="GT269" s="133"/>
      <c r="GU269" s="133"/>
      <c r="GV269" s="133"/>
      <c r="GW269" s="133"/>
      <c r="GX269" s="133"/>
      <c r="GY269" s="133"/>
      <c r="GZ269" s="133"/>
      <c r="HA269" s="133"/>
      <c r="HB269" s="133"/>
      <c r="HC269" s="133"/>
      <c r="HD269" s="133"/>
      <c r="HE269" s="133"/>
      <c r="HF269" s="133"/>
      <c r="HG269" s="133"/>
      <c r="HH269" s="133"/>
      <c r="HI269" s="133"/>
      <c r="HJ269" s="133"/>
      <c r="HK269" s="133"/>
      <c r="HL269" s="133"/>
      <c r="HM269" s="133"/>
      <c r="HN269" s="133"/>
      <c r="HO269" s="133"/>
      <c r="HP269" s="133"/>
      <c r="HQ269" s="133"/>
      <c r="HR269" s="133"/>
      <c r="HS269" s="133"/>
      <c r="HT269" s="133"/>
      <c r="HU269" s="133"/>
      <c r="HV269" s="133"/>
      <c r="HW269" s="133"/>
      <c r="HX269" s="133"/>
      <c r="HY269" s="133"/>
      <c r="HZ269" s="133"/>
      <c r="IA269" s="133"/>
      <c r="IB269" s="133"/>
      <c r="IC269" s="133"/>
      <c r="ID269" s="133"/>
      <c r="IE269" s="133"/>
      <c r="IF269" s="133"/>
      <c r="IG269" s="133"/>
      <c r="IH269" s="133"/>
      <c r="II269" s="133"/>
      <c r="IJ269" s="133"/>
      <c r="IK269" s="133"/>
      <c r="IL269" s="133"/>
      <c r="IM269" s="133"/>
      <c r="IN269" s="133"/>
      <c r="IO269" s="133"/>
      <c r="IP269" s="133"/>
      <c r="IQ269" s="133"/>
      <c r="IR269" s="133"/>
      <c r="IS269" s="133"/>
      <c r="IT269" s="133"/>
      <c r="IU269" s="133"/>
      <c r="IV269" s="133"/>
    </row>
    <row r="270" spans="1:256" s="132" customFormat="1" ht="13.8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GE270" s="133"/>
      <c r="GF270" s="133"/>
      <c r="GG270" s="133"/>
      <c r="GH270" s="133"/>
      <c r="GI270" s="133"/>
      <c r="GJ270" s="133"/>
      <c r="GK270" s="133"/>
      <c r="GL270" s="133"/>
      <c r="GM270" s="133"/>
      <c r="GN270" s="133"/>
      <c r="GO270" s="133"/>
      <c r="GP270" s="133"/>
      <c r="GQ270" s="133"/>
      <c r="GR270" s="133"/>
      <c r="GS270" s="133"/>
      <c r="GT270" s="133"/>
      <c r="GU270" s="133"/>
      <c r="GV270" s="133"/>
      <c r="GW270" s="133"/>
      <c r="GX270" s="133"/>
      <c r="GY270" s="133"/>
      <c r="GZ270" s="133"/>
      <c r="HA270" s="133"/>
      <c r="HB270" s="133"/>
      <c r="HC270" s="133"/>
      <c r="HD270" s="133"/>
      <c r="HE270" s="133"/>
      <c r="HF270" s="133"/>
      <c r="HG270" s="133"/>
      <c r="HH270" s="133"/>
      <c r="HI270" s="133"/>
      <c r="HJ270" s="133"/>
      <c r="HK270" s="133"/>
      <c r="HL270" s="133"/>
      <c r="HM270" s="133"/>
      <c r="HN270" s="133"/>
      <c r="HO270" s="133"/>
      <c r="HP270" s="133"/>
      <c r="HQ270" s="133"/>
      <c r="HR270" s="133"/>
      <c r="HS270" s="133"/>
      <c r="HT270" s="133"/>
      <c r="HU270" s="133"/>
      <c r="HV270" s="133"/>
      <c r="HW270" s="133"/>
      <c r="HX270" s="133"/>
      <c r="HY270" s="133"/>
      <c r="HZ270" s="133"/>
      <c r="IA270" s="133"/>
      <c r="IB270" s="133"/>
      <c r="IC270" s="133"/>
      <c r="ID270" s="133"/>
      <c r="IE270" s="133"/>
      <c r="IF270" s="133"/>
      <c r="IG270" s="133"/>
      <c r="IH270" s="133"/>
      <c r="II270" s="133"/>
      <c r="IJ270" s="133"/>
      <c r="IK270" s="133"/>
      <c r="IL270" s="133"/>
      <c r="IM270" s="133"/>
      <c r="IN270" s="133"/>
      <c r="IO270" s="133"/>
      <c r="IP270" s="133"/>
      <c r="IQ270" s="133"/>
      <c r="IR270" s="133"/>
      <c r="IS270" s="133"/>
      <c r="IT270" s="133"/>
      <c r="IU270" s="133"/>
      <c r="IV270" s="133"/>
    </row>
    <row r="271" spans="1:256" s="132" customFormat="1" ht="13.8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GE271" s="133"/>
      <c r="GF271" s="133"/>
      <c r="GG271" s="133"/>
      <c r="GH271" s="133"/>
      <c r="GI271" s="133"/>
      <c r="GJ271" s="133"/>
      <c r="GK271" s="133"/>
      <c r="GL271" s="133"/>
      <c r="GM271" s="133"/>
      <c r="GN271" s="133"/>
      <c r="GO271" s="133"/>
      <c r="GP271" s="133"/>
      <c r="GQ271" s="133"/>
      <c r="GR271" s="133"/>
      <c r="GS271" s="133"/>
      <c r="GT271" s="133"/>
      <c r="GU271" s="133"/>
      <c r="GV271" s="133"/>
      <c r="GW271" s="133"/>
      <c r="GX271" s="133"/>
      <c r="GY271" s="133"/>
      <c r="GZ271" s="133"/>
      <c r="HA271" s="133"/>
      <c r="HB271" s="133"/>
      <c r="HC271" s="133"/>
      <c r="HD271" s="133"/>
      <c r="HE271" s="133"/>
      <c r="HF271" s="133"/>
      <c r="HG271" s="133"/>
      <c r="HH271" s="133"/>
      <c r="HI271" s="133"/>
      <c r="HJ271" s="133"/>
      <c r="HK271" s="133"/>
      <c r="HL271" s="133"/>
      <c r="HM271" s="133"/>
      <c r="HN271" s="133"/>
      <c r="HO271" s="133"/>
      <c r="HP271" s="133"/>
      <c r="HQ271" s="133"/>
      <c r="HR271" s="133"/>
      <c r="HS271" s="133"/>
      <c r="HT271" s="133"/>
      <c r="HU271" s="133"/>
      <c r="HV271" s="133"/>
      <c r="HW271" s="133"/>
      <c r="HX271" s="133"/>
      <c r="HY271" s="133"/>
      <c r="HZ271" s="133"/>
      <c r="IA271" s="133"/>
      <c r="IB271" s="133"/>
      <c r="IC271" s="133"/>
      <c r="ID271" s="133"/>
      <c r="IE271" s="133"/>
      <c r="IF271" s="133"/>
      <c r="IG271" s="133"/>
      <c r="IH271" s="133"/>
      <c r="II271" s="133"/>
      <c r="IJ271" s="133"/>
      <c r="IK271" s="133"/>
      <c r="IL271" s="133"/>
      <c r="IM271" s="133"/>
      <c r="IN271" s="133"/>
      <c r="IO271" s="133"/>
      <c r="IP271" s="133"/>
      <c r="IQ271" s="133"/>
      <c r="IR271" s="133"/>
      <c r="IS271" s="133"/>
      <c r="IT271" s="133"/>
      <c r="IU271" s="133"/>
      <c r="IV271" s="133"/>
    </row>
    <row r="272" spans="1:256" s="132" customFormat="1" ht="13.8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GE272" s="133"/>
      <c r="GF272" s="133"/>
      <c r="GG272" s="133"/>
      <c r="GH272" s="133"/>
      <c r="GI272" s="133"/>
      <c r="GJ272" s="133"/>
      <c r="GK272" s="133"/>
      <c r="GL272" s="133"/>
      <c r="GM272" s="133"/>
      <c r="GN272" s="133"/>
      <c r="GO272" s="133"/>
      <c r="GP272" s="133"/>
      <c r="GQ272" s="133"/>
      <c r="GR272" s="133"/>
      <c r="GS272" s="133"/>
      <c r="GT272" s="133"/>
      <c r="GU272" s="133"/>
      <c r="GV272" s="133"/>
      <c r="GW272" s="133"/>
      <c r="GX272" s="133"/>
      <c r="GY272" s="133"/>
      <c r="GZ272" s="133"/>
      <c r="HA272" s="133"/>
      <c r="HB272" s="133"/>
      <c r="HC272" s="133"/>
      <c r="HD272" s="133"/>
      <c r="HE272" s="133"/>
      <c r="HF272" s="133"/>
      <c r="HG272" s="133"/>
      <c r="HH272" s="133"/>
      <c r="HI272" s="133"/>
      <c r="HJ272" s="133"/>
      <c r="HK272" s="133"/>
      <c r="HL272" s="133"/>
      <c r="HM272" s="133"/>
      <c r="HN272" s="133"/>
      <c r="HO272" s="133"/>
      <c r="HP272" s="133"/>
      <c r="HQ272" s="133"/>
      <c r="HR272" s="133"/>
      <c r="HS272" s="133"/>
      <c r="HT272" s="133"/>
      <c r="HU272" s="133"/>
      <c r="HV272" s="133"/>
      <c r="HW272" s="133"/>
      <c r="HX272" s="133"/>
      <c r="HY272" s="133"/>
      <c r="HZ272" s="133"/>
      <c r="IA272" s="133"/>
      <c r="IB272" s="133"/>
      <c r="IC272" s="133"/>
      <c r="ID272" s="133"/>
      <c r="IE272" s="133"/>
      <c r="IF272" s="133"/>
      <c r="IG272" s="133"/>
      <c r="IH272" s="133"/>
      <c r="II272" s="133"/>
      <c r="IJ272" s="133"/>
      <c r="IK272" s="133"/>
      <c r="IL272" s="133"/>
      <c r="IM272" s="133"/>
      <c r="IN272" s="133"/>
      <c r="IO272" s="133"/>
      <c r="IP272" s="133"/>
      <c r="IQ272" s="133"/>
      <c r="IR272" s="133"/>
      <c r="IS272" s="133"/>
      <c r="IT272" s="133"/>
      <c r="IU272" s="133"/>
      <c r="IV272" s="133"/>
    </row>
    <row r="273" spans="1:256" s="132" customFormat="1" ht="13.8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GE273" s="133"/>
      <c r="GF273" s="133"/>
      <c r="GG273" s="133"/>
      <c r="GH273" s="133"/>
      <c r="GI273" s="133"/>
      <c r="GJ273" s="133"/>
      <c r="GK273" s="133"/>
      <c r="GL273" s="133"/>
      <c r="GM273" s="133"/>
      <c r="GN273" s="133"/>
      <c r="GO273" s="133"/>
      <c r="GP273" s="133"/>
      <c r="GQ273" s="133"/>
      <c r="GR273" s="133"/>
      <c r="GS273" s="133"/>
      <c r="GT273" s="133"/>
      <c r="GU273" s="133"/>
      <c r="GV273" s="133"/>
      <c r="GW273" s="133"/>
      <c r="GX273" s="133"/>
      <c r="GY273" s="133"/>
      <c r="GZ273" s="133"/>
      <c r="HA273" s="133"/>
      <c r="HB273" s="133"/>
      <c r="HC273" s="133"/>
      <c r="HD273" s="133"/>
      <c r="HE273" s="133"/>
      <c r="HF273" s="133"/>
      <c r="HG273" s="133"/>
      <c r="HH273" s="133"/>
      <c r="HI273" s="133"/>
      <c r="HJ273" s="133"/>
      <c r="HK273" s="133"/>
      <c r="HL273" s="133"/>
      <c r="HM273" s="133"/>
      <c r="HN273" s="133"/>
      <c r="HO273" s="133"/>
      <c r="HP273" s="133"/>
      <c r="HQ273" s="133"/>
      <c r="HR273" s="133"/>
      <c r="HS273" s="133"/>
      <c r="HT273" s="133"/>
      <c r="HU273" s="133"/>
      <c r="HV273" s="133"/>
      <c r="HW273" s="133"/>
      <c r="HX273" s="133"/>
      <c r="HY273" s="133"/>
      <c r="HZ273" s="133"/>
      <c r="IA273" s="133"/>
      <c r="IB273" s="133"/>
      <c r="IC273" s="133"/>
      <c r="ID273" s="133"/>
      <c r="IE273" s="133"/>
      <c r="IF273" s="133"/>
      <c r="IG273" s="133"/>
      <c r="IH273" s="133"/>
      <c r="II273" s="133"/>
      <c r="IJ273" s="133"/>
      <c r="IK273" s="133"/>
      <c r="IL273" s="133"/>
      <c r="IM273" s="133"/>
      <c r="IN273" s="133"/>
      <c r="IO273" s="133"/>
      <c r="IP273" s="133"/>
      <c r="IQ273" s="133"/>
      <c r="IR273" s="133"/>
      <c r="IS273" s="133"/>
      <c r="IT273" s="133"/>
      <c r="IU273" s="133"/>
      <c r="IV273" s="133"/>
    </row>
    <row r="274" spans="1:256" s="132" customFormat="1" ht="13.8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GE274" s="133"/>
      <c r="GF274" s="133"/>
      <c r="GG274" s="133"/>
      <c r="GH274" s="133"/>
      <c r="GI274" s="133"/>
      <c r="GJ274" s="133"/>
      <c r="GK274" s="133"/>
      <c r="GL274" s="133"/>
      <c r="GM274" s="133"/>
      <c r="GN274" s="133"/>
      <c r="GO274" s="133"/>
      <c r="GP274" s="133"/>
      <c r="GQ274" s="133"/>
      <c r="GR274" s="133"/>
      <c r="GS274" s="133"/>
      <c r="GT274" s="133"/>
      <c r="GU274" s="133"/>
      <c r="GV274" s="133"/>
      <c r="GW274" s="133"/>
      <c r="GX274" s="133"/>
      <c r="GY274" s="133"/>
      <c r="GZ274" s="133"/>
      <c r="HA274" s="133"/>
      <c r="HB274" s="133"/>
      <c r="HC274" s="133"/>
      <c r="HD274" s="133"/>
      <c r="HE274" s="133"/>
      <c r="HF274" s="133"/>
      <c r="HG274" s="133"/>
      <c r="HH274" s="133"/>
      <c r="HI274" s="133"/>
      <c r="HJ274" s="133"/>
      <c r="HK274" s="133"/>
      <c r="HL274" s="133"/>
      <c r="HM274" s="133"/>
      <c r="HN274" s="133"/>
      <c r="HO274" s="133"/>
      <c r="HP274" s="133"/>
      <c r="HQ274" s="133"/>
      <c r="HR274" s="133"/>
      <c r="HS274" s="133"/>
      <c r="HT274" s="133"/>
      <c r="HU274" s="133"/>
      <c r="HV274" s="133"/>
      <c r="HW274" s="133"/>
      <c r="HX274" s="133"/>
      <c r="HY274" s="133"/>
      <c r="HZ274" s="133"/>
      <c r="IA274" s="133"/>
      <c r="IB274" s="133"/>
      <c r="IC274" s="133"/>
      <c r="ID274" s="133"/>
      <c r="IE274" s="133"/>
      <c r="IF274" s="133"/>
      <c r="IG274" s="133"/>
      <c r="IH274" s="133"/>
      <c r="II274" s="133"/>
      <c r="IJ274" s="133"/>
      <c r="IK274" s="133"/>
      <c r="IL274" s="133"/>
      <c r="IM274" s="133"/>
      <c r="IN274" s="133"/>
      <c r="IO274" s="133"/>
      <c r="IP274" s="133"/>
      <c r="IQ274" s="133"/>
      <c r="IR274" s="133"/>
      <c r="IS274" s="133"/>
      <c r="IT274" s="133"/>
      <c r="IU274" s="133"/>
      <c r="IV274" s="133"/>
    </row>
    <row r="275" spans="1:256" s="132" customFormat="1" ht="13.8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GE275" s="133"/>
      <c r="GF275" s="133"/>
      <c r="GG275" s="133"/>
      <c r="GH275" s="133"/>
      <c r="GI275" s="133"/>
      <c r="GJ275" s="133"/>
      <c r="GK275" s="133"/>
      <c r="GL275" s="133"/>
      <c r="GM275" s="133"/>
      <c r="GN275" s="133"/>
      <c r="GO275" s="133"/>
      <c r="GP275" s="133"/>
      <c r="GQ275" s="133"/>
      <c r="GR275" s="133"/>
      <c r="GS275" s="133"/>
      <c r="GT275" s="133"/>
      <c r="GU275" s="133"/>
      <c r="GV275" s="133"/>
      <c r="GW275" s="133"/>
      <c r="GX275" s="133"/>
      <c r="GY275" s="133"/>
      <c r="GZ275" s="133"/>
      <c r="HA275" s="133"/>
      <c r="HB275" s="133"/>
      <c r="HC275" s="133"/>
      <c r="HD275" s="133"/>
      <c r="HE275" s="133"/>
      <c r="HF275" s="133"/>
      <c r="HG275" s="133"/>
      <c r="HH275" s="133"/>
      <c r="HI275" s="133"/>
      <c r="HJ275" s="133"/>
      <c r="HK275" s="133"/>
      <c r="HL275" s="133"/>
      <c r="HM275" s="133"/>
      <c r="HN275" s="133"/>
      <c r="HO275" s="133"/>
      <c r="HP275" s="133"/>
      <c r="HQ275" s="133"/>
      <c r="HR275" s="133"/>
      <c r="HS275" s="133"/>
      <c r="HT275" s="133"/>
      <c r="HU275" s="133"/>
      <c r="HV275" s="133"/>
      <c r="HW275" s="133"/>
      <c r="HX275" s="133"/>
      <c r="HY275" s="133"/>
      <c r="HZ275" s="133"/>
      <c r="IA275" s="133"/>
      <c r="IB275" s="133"/>
      <c r="IC275" s="133"/>
      <c r="ID275" s="133"/>
      <c r="IE275" s="133"/>
      <c r="IF275" s="133"/>
      <c r="IG275" s="133"/>
      <c r="IH275" s="133"/>
      <c r="II275" s="133"/>
      <c r="IJ275" s="133"/>
      <c r="IK275" s="133"/>
      <c r="IL275" s="133"/>
      <c r="IM275" s="133"/>
      <c r="IN275" s="133"/>
      <c r="IO275" s="133"/>
      <c r="IP275" s="133"/>
      <c r="IQ275" s="133"/>
      <c r="IR275" s="133"/>
      <c r="IS275" s="133"/>
      <c r="IT275" s="133"/>
      <c r="IU275" s="133"/>
      <c r="IV275" s="133"/>
    </row>
    <row r="276" spans="1:256" s="132" customFormat="1" ht="13.8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GE276" s="133"/>
      <c r="GF276" s="133"/>
      <c r="GG276" s="133"/>
      <c r="GH276" s="133"/>
      <c r="GI276" s="133"/>
      <c r="GJ276" s="133"/>
      <c r="GK276" s="133"/>
      <c r="GL276" s="133"/>
      <c r="GM276" s="133"/>
      <c r="GN276" s="133"/>
      <c r="GO276" s="133"/>
      <c r="GP276" s="133"/>
      <c r="GQ276" s="133"/>
      <c r="GR276" s="133"/>
      <c r="GS276" s="133"/>
      <c r="GT276" s="133"/>
      <c r="GU276" s="133"/>
      <c r="GV276" s="133"/>
      <c r="GW276" s="133"/>
      <c r="GX276" s="133"/>
      <c r="GY276" s="133"/>
      <c r="GZ276" s="133"/>
      <c r="HA276" s="133"/>
      <c r="HB276" s="133"/>
      <c r="HC276" s="133"/>
      <c r="HD276" s="133"/>
      <c r="HE276" s="133"/>
      <c r="HF276" s="133"/>
      <c r="HG276" s="133"/>
      <c r="HH276" s="133"/>
      <c r="HI276" s="133"/>
      <c r="HJ276" s="133"/>
      <c r="HK276" s="133"/>
      <c r="HL276" s="133"/>
      <c r="HM276" s="133"/>
      <c r="HN276" s="133"/>
      <c r="HO276" s="133"/>
      <c r="HP276" s="133"/>
      <c r="HQ276" s="133"/>
      <c r="HR276" s="133"/>
      <c r="HS276" s="133"/>
      <c r="HT276" s="133"/>
      <c r="HU276" s="133"/>
      <c r="HV276" s="133"/>
      <c r="HW276" s="133"/>
      <c r="HX276" s="133"/>
      <c r="HY276" s="133"/>
      <c r="HZ276" s="133"/>
      <c r="IA276" s="133"/>
      <c r="IB276" s="133"/>
      <c r="IC276" s="133"/>
      <c r="ID276" s="133"/>
      <c r="IE276" s="133"/>
      <c r="IF276" s="133"/>
      <c r="IG276" s="133"/>
      <c r="IH276" s="133"/>
      <c r="II276" s="133"/>
      <c r="IJ276" s="133"/>
      <c r="IK276" s="133"/>
      <c r="IL276" s="133"/>
      <c r="IM276" s="133"/>
      <c r="IN276" s="133"/>
      <c r="IO276" s="133"/>
      <c r="IP276" s="133"/>
      <c r="IQ276" s="133"/>
      <c r="IR276" s="133"/>
      <c r="IS276" s="133"/>
      <c r="IT276" s="133"/>
      <c r="IU276" s="133"/>
      <c r="IV276" s="133"/>
    </row>
    <row r="277" spans="1:256" s="132" customFormat="1" ht="13.8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GE277" s="133"/>
      <c r="GF277" s="133"/>
      <c r="GG277" s="133"/>
      <c r="GH277" s="133"/>
      <c r="GI277" s="133"/>
      <c r="GJ277" s="133"/>
      <c r="GK277" s="133"/>
      <c r="GL277" s="133"/>
      <c r="GM277" s="133"/>
      <c r="GN277" s="133"/>
      <c r="GO277" s="133"/>
      <c r="GP277" s="133"/>
      <c r="GQ277" s="133"/>
      <c r="GR277" s="133"/>
      <c r="GS277" s="133"/>
      <c r="GT277" s="133"/>
      <c r="GU277" s="133"/>
      <c r="GV277" s="133"/>
      <c r="GW277" s="133"/>
      <c r="GX277" s="133"/>
      <c r="GY277" s="133"/>
      <c r="GZ277" s="133"/>
      <c r="HA277" s="133"/>
      <c r="HB277" s="133"/>
      <c r="HC277" s="133"/>
      <c r="HD277" s="133"/>
      <c r="HE277" s="133"/>
      <c r="HF277" s="133"/>
      <c r="HG277" s="133"/>
      <c r="HH277" s="133"/>
      <c r="HI277" s="133"/>
      <c r="HJ277" s="133"/>
      <c r="HK277" s="133"/>
      <c r="HL277" s="133"/>
      <c r="HM277" s="133"/>
      <c r="HN277" s="133"/>
      <c r="HO277" s="133"/>
      <c r="HP277" s="133"/>
      <c r="HQ277" s="133"/>
      <c r="HR277" s="133"/>
      <c r="HS277" s="133"/>
      <c r="HT277" s="133"/>
      <c r="HU277" s="133"/>
      <c r="HV277" s="133"/>
      <c r="HW277" s="133"/>
      <c r="HX277" s="133"/>
      <c r="HY277" s="133"/>
      <c r="HZ277" s="133"/>
      <c r="IA277" s="133"/>
      <c r="IB277" s="133"/>
      <c r="IC277" s="133"/>
      <c r="ID277" s="133"/>
      <c r="IE277" s="133"/>
      <c r="IF277" s="133"/>
      <c r="IG277" s="133"/>
      <c r="IH277" s="133"/>
      <c r="II277" s="133"/>
      <c r="IJ277" s="133"/>
      <c r="IK277" s="133"/>
      <c r="IL277" s="133"/>
      <c r="IM277" s="133"/>
      <c r="IN277" s="133"/>
      <c r="IO277" s="133"/>
      <c r="IP277" s="133"/>
      <c r="IQ277" s="133"/>
      <c r="IR277" s="133"/>
      <c r="IS277" s="133"/>
      <c r="IT277" s="133"/>
      <c r="IU277" s="133"/>
      <c r="IV277" s="133"/>
    </row>
    <row r="278" spans="1:256" s="132" customFormat="1" ht="13.8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GE278" s="133"/>
      <c r="GF278" s="133"/>
      <c r="GG278" s="133"/>
      <c r="GH278" s="133"/>
      <c r="GI278" s="133"/>
      <c r="GJ278" s="133"/>
      <c r="GK278" s="133"/>
      <c r="GL278" s="133"/>
      <c r="GM278" s="133"/>
      <c r="GN278" s="133"/>
      <c r="GO278" s="133"/>
      <c r="GP278" s="133"/>
      <c r="GQ278" s="133"/>
      <c r="GR278" s="133"/>
      <c r="GS278" s="133"/>
      <c r="GT278" s="133"/>
      <c r="GU278" s="133"/>
      <c r="GV278" s="133"/>
      <c r="GW278" s="133"/>
      <c r="GX278" s="133"/>
      <c r="GY278" s="133"/>
      <c r="GZ278" s="133"/>
      <c r="HA278" s="133"/>
      <c r="HB278" s="133"/>
      <c r="HC278" s="133"/>
      <c r="HD278" s="133"/>
      <c r="HE278" s="133"/>
      <c r="HF278" s="133"/>
      <c r="HG278" s="133"/>
      <c r="HH278" s="133"/>
      <c r="HI278" s="133"/>
      <c r="HJ278" s="133"/>
      <c r="HK278" s="133"/>
      <c r="HL278" s="133"/>
      <c r="HM278" s="133"/>
      <c r="HN278" s="133"/>
      <c r="HO278" s="133"/>
      <c r="HP278" s="133"/>
      <c r="HQ278" s="133"/>
      <c r="HR278" s="133"/>
      <c r="HS278" s="133"/>
      <c r="HT278" s="133"/>
      <c r="HU278" s="133"/>
      <c r="HV278" s="133"/>
      <c r="HW278" s="133"/>
      <c r="HX278" s="133"/>
      <c r="HY278" s="133"/>
      <c r="HZ278" s="133"/>
      <c r="IA278" s="133"/>
      <c r="IB278" s="133"/>
      <c r="IC278" s="133"/>
      <c r="ID278" s="133"/>
      <c r="IE278" s="133"/>
      <c r="IF278" s="133"/>
      <c r="IG278" s="133"/>
      <c r="IH278" s="133"/>
      <c r="II278" s="133"/>
      <c r="IJ278" s="133"/>
      <c r="IK278" s="133"/>
      <c r="IL278" s="133"/>
      <c r="IM278" s="133"/>
      <c r="IN278" s="133"/>
      <c r="IO278" s="133"/>
      <c r="IP278" s="133"/>
      <c r="IQ278" s="133"/>
      <c r="IR278" s="133"/>
      <c r="IS278" s="133"/>
      <c r="IT278" s="133"/>
      <c r="IU278" s="133"/>
      <c r="IV278" s="133"/>
    </row>
    <row r="279" spans="1:256" s="132" customFormat="1" ht="13.8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GE279" s="133"/>
      <c r="GF279" s="133"/>
      <c r="GG279" s="133"/>
      <c r="GH279" s="133"/>
      <c r="GI279" s="133"/>
      <c r="GJ279" s="133"/>
      <c r="GK279" s="133"/>
      <c r="GL279" s="133"/>
      <c r="GM279" s="133"/>
      <c r="GN279" s="133"/>
      <c r="GO279" s="133"/>
      <c r="GP279" s="133"/>
      <c r="GQ279" s="133"/>
      <c r="GR279" s="133"/>
      <c r="GS279" s="133"/>
      <c r="GT279" s="133"/>
      <c r="GU279" s="133"/>
      <c r="GV279" s="133"/>
      <c r="GW279" s="133"/>
      <c r="GX279" s="133"/>
      <c r="GY279" s="133"/>
      <c r="GZ279" s="133"/>
      <c r="HA279" s="133"/>
      <c r="HB279" s="133"/>
      <c r="HC279" s="133"/>
      <c r="HD279" s="133"/>
      <c r="HE279" s="133"/>
      <c r="HF279" s="133"/>
      <c r="HG279" s="133"/>
      <c r="HH279" s="133"/>
      <c r="HI279" s="133"/>
      <c r="HJ279" s="133"/>
      <c r="HK279" s="133"/>
      <c r="HL279" s="133"/>
      <c r="HM279" s="133"/>
      <c r="HN279" s="133"/>
      <c r="HO279" s="133"/>
      <c r="HP279" s="133"/>
      <c r="HQ279" s="133"/>
      <c r="HR279" s="133"/>
      <c r="HS279" s="133"/>
      <c r="HT279" s="133"/>
      <c r="HU279" s="133"/>
      <c r="HV279" s="133"/>
      <c r="HW279" s="133"/>
      <c r="HX279" s="133"/>
      <c r="HY279" s="133"/>
      <c r="HZ279" s="133"/>
      <c r="IA279" s="133"/>
      <c r="IB279" s="133"/>
      <c r="IC279" s="133"/>
      <c r="ID279" s="133"/>
      <c r="IE279" s="133"/>
      <c r="IF279" s="133"/>
      <c r="IG279" s="133"/>
      <c r="IH279" s="133"/>
      <c r="II279" s="133"/>
      <c r="IJ279" s="133"/>
      <c r="IK279" s="133"/>
      <c r="IL279" s="133"/>
      <c r="IM279" s="133"/>
      <c r="IN279" s="133"/>
      <c r="IO279" s="133"/>
      <c r="IP279" s="133"/>
      <c r="IQ279" s="133"/>
      <c r="IR279" s="133"/>
      <c r="IS279" s="133"/>
      <c r="IT279" s="133"/>
      <c r="IU279" s="133"/>
      <c r="IV279" s="133"/>
    </row>
    <row r="280" spans="1:256" s="132" customFormat="1" ht="13.8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GE280" s="133"/>
      <c r="GF280" s="133"/>
      <c r="GG280" s="133"/>
      <c r="GH280" s="133"/>
      <c r="GI280" s="133"/>
      <c r="GJ280" s="133"/>
      <c r="GK280" s="133"/>
      <c r="GL280" s="133"/>
      <c r="GM280" s="133"/>
      <c r="GN280" s="133"/>
      <c r="GO280" s="133"/>
      <c r="GP280" s="133"/>
      <c r="GQ280" s="133"/>
      <c r="GR280" s="133"/>
      <c r="GS280" s="133"/>
      <c r="GT280" s="133"/>
      <c r="GU280" s="133"/>
      <c r="GV280" s="133"/>
      <c r="GW280" s="133"/>
      <c r="GX280" s="133"/>
      <c r="GY280" s="133"/>
      <c r="GZ280" s="133"/>
      <c r="HA280" s="133"/>
      <c r="HB280" s="133"/>
      <c r="HC280" s="133"/>
      <c r="HD280" s="133"/>
      <c r="HE280" s="133"/>
      <c r="HF280" s="133"/>
      <c r="HG280" s="133"/>
      <c r="HH280" s="133"/>
      <c r="HI280" s="133"/>
      <c r="HJ280" s="133"/>
      <c r="HK280" s="133"/>
      <c r="HL280" s="133"/>
      <c r="HM280" s="133"/>
      <c r="HN280" s="133"/>
      <c r="HO280" s="133"/>
      <c r="HP280" s="133"/>
      <c r="HQ280" s="133"/>
      <c r="HR280" s="133"/>
      <c r="HS280" s="133"/>
      <c r="HT280" s="133"/>
      <c r="HU280" s="133"/>
      <c r="HV280" s="133"/>
      <c r="HW280" s="133"/>
      <c r="HX280" s="133"/>
      <c r="HY280" s="133"/>
      <c r="HZ280" s="133"/>
      <c r="IA280" s="133"/>
      <c r="IB280" s="133"/>
      <c r="IC280" s="133"/>
      <c r="ID280" s="133"/>
      <c r="IE280" s="133"/>
      <c r="IF280" s="133"/>
      <c r="IG280" s="133"/>
      <c r="IH280" s="133"/>
      <c r="II280" s="133"/>
      <c r="IJ280" s="133"/>
      <c r="IK280" s="133"/>
      <c r="IL280" s="133"/>
      <c r="IM280" s="133"/>
      <c r="IN280" s="133"/>
      <c r="IO280" s="133"/>
      <c r="IP280" s="133"/>
      <c r="IQ280" s="133"/>
      <c r="IR280" s="133"/>
      <c r="IS280" s="133"/>
      <c r="IT280" s="133"/>
      <c r="IU280" s="133"/>
      <c r="IV280" s="133"/>
    </row>
    <row r="281" spans="1:256" s="132" customFormat="1" ht="13.8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GE281" s="133"/>
      <c r="GF281" s="133"/>
      <c r="GG281" s="133"/>
      <c r="GH281" s="133"/>
      <c r="GI281" s="133"/>
      <c r="GJ281" s="133"/>
      <c r="GK281" s="133"/>
      <c r="GL281" s="133"/>
      <c r="GM281" s="133"/>
      <c r="GN281" s="133"/>
      <c r="GO281" s="133"/>
      <c r="GP281" s="133"/>
      <c r="GQ281" s="133"/>
      <c r="GR281" s="133"/>
      <c r="GS281" s="133"/>
      <c r="GT281" s="133"/>
      <c r="GU281" s="133"/>
      <c r="GV281" s="133"/>
      <c r="GW281" s="133"/>
      <c r="GX281" s="133"/>
      <c r="GY281" s="133"/>
      <c r="GZ281" s="133"/>
      <c r="HA281" s="133"/>
      <c r="HB281" s="133"/>
      <c r="HC281" s="133"/>
      <c r="HD281" s="133"/>
      <c r="HE281" s="133"/>
      <c r="HF281" s="133"/>
      <c r="HG281" s="133"/>
      <c r="HH281" s="133"/>
      <c r="HI281" s="133"/>
      <c r="HJ281" s="133"/>
      <c r="HK281" s="133"/>
      <c r="HL281" s="133"/>
      <c r="HM281" s="133"/>
      <c r="HN281" s="133"/>
      <c r="HO281" s="133"/>
      <c r="HP281" s="133"/>
      <c r="HQ281" s="133"/>
      <c r="HR281" s="133"/>
      <c r="HS281" s="133"/>
      <c r="HT281" s="133"/>
      <c r="HU281" s="133"/>
      <c r="HV281" s="133"/>
      <c r="HW281" s="133"/>
      <c r="HX281" s="133"/>
      <c r="HY281" s="133"/>
      <c r="HZ281" s="133"/>
      <c r="IA281" s="133"/>
      <c r="IB281" s="133"/>
      <c r="IC281" s="133"/>
      <c r="ID281" s="133"/>
      <c r="IE281" s="133"/>
      <c r="IF281" s="133"/>
      <c r="IG281" s="133"/>
      <c r="IH281" s="133"/>
      <c r="II281" s="133"/>
      <c r="IJ281" s="133"/>
      <c r="IK281" s="133"/>
      <c r="IL281" s="133"/>
      <c r="IM281" s="133"/>
      <c r="IN281" s="133"/>
      <c r="IO281" s="133"/>
      <c r="IP281" s="133"/>
      <c r="IQ281" s="133"/>
      <c r="IR281" s="133"/>
      <c r="IS281" s="133"/>
      <c r="IT281" s="133"/>
      <c r="IU281" s="133"/>
      <c r="IV281" s="133"/>
    </row>
    <row r="282" spans="1:256" s="132" customFormat="1" ht="13.8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GE282" s="133"/>
      <c r="GF282" s="133"/>
      <c r="GG282" s="133"/>
      <c r="GH282" s="133"/>
      <c r="GI282" s="133"/>
      <c r="GJ282" s="133"/>
      <c r="GK282" s="133"/>
      <c r="GL282" s="133"/>
      <c r="GM282" s="133"/>
      <c r="GN282" s="133"/>
      <c r="GO282" s="133"/>
      <c r="GP282" s="133"/>
      <c r="GQ282" s="133"/>
      <c r="GR282" s="133"/>
      <c r="GS282" s="133"/>
      <c r="GT282" s="133"/>
      <c r="GU282" s="133"/>
      <c r="GV282" s="133"/>
      <c r="GW282" s="133"/>
      <c r="GX282" s="133"/>
      <c r="GY282" s="133"/>
      <c r="GZ282" s="133"/>
      <c r="HA282" s="133"/>
      <c r="HB282" s="133"/>
      <c r="HC282" s="133"/>
      <c r="HD282" s="133"/>
      <c r="HE282" s="133"/>
      <c r="HF282" s="133"/>
      <c r="HG282" s="133"/>
      <c r="HH282" s="133"/>
      <c r="HI282" s="133"/>
      <c r="HJ282" s="133"/>
      <c r="HK282" s="133"/>
      <c r="HL282" s="133"/>
      <c r="HM282" s="133"/>
      <c r="HN282" s="133"/>
      <c r="HO282" s="133"/>
      <c r="HP282" s="133"/>
      <c r="HQ282" s="133"/>
      <c r="HR282" s="133"/>
      <c r="HS282" s="133"/>
      <c r="HT282" s="133"/>
      <c r="HU282" s="133"/>
      <c r="HV282" s="133"/>
      <c r="HW282" s="133"/>
      <c r="HX282" s="133"/>
      <c r="HY282" s="133"/>
      <c r="HZ282" s="133"/>
      <c r="IA282" s="133"/>
      <c r="IB282" s="133"/>
      <c r="IC282" s="133"/>
      <c r="ID282" s="133"/>
      <c r="IE282" s="133"/>
      <c r="IF282" s="133"/>
      <c r="IG282" s="133"/>
      <c r="IH282" s="133"/>
      <c r="II282" s="133"/>
      <c r="IJ282" s="133"/>
      <c r="IK282" s="133"/>
      <c r="IL282" s="133"/>
      <c r="IM282" s="133"/>
      <c r="IN282" s="133"/>
      <c r="IO282" s="133"/>
      <c r="IP282" s="133"/>
      <c r="IQ282" s="133"/>
      <c r="IR282" s="133"/>
      <c r="IS282" s="133"/>
      <c r="IT282" s="133"/>
      <c r="IU282" s="133"/>
      <c r="IV282" s="133"/>
    </row>
    <row r="283" spans="1:256" s="132" customFormat="1" ht="13.8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GE283" s="133"/>
      <c r="GF283" s="133"/>
      <c r="GG283" s="133"/>
      <c r="GH283" s="133"/>
      <c r="GI283" s="133"/>
      <c r="GJ283" s="133"/>
      <c r="GK283" s="133"/>
      <c r="GL283" s="133"/>
      <c r="GM283" s="133"/>
      <c r="GN283" s="133"/>
      <c r="GO283" s="133"/>
      <c r="GP283" s="133"/>
      <c r="GQ283" s="133"/>
      <c r="GR283" s="133"/>
      <c r="GS283" s="133"/>
      <c r="GT283" s="133"/>
      <c r="GU283" s="133"/>
      <c r="GV283" s="133"/>
      <c r="GW283" s="133"/>
      <c r="GX283" s="133"/>
      <c r="GY283" s="133"/>
      <c r="GZ283" s="133"/>
      <c r="HA283" s="133"/>
      <c r="HB283" s="133"/>
      <c r="HC283" s="133"/>
      <c r="HD283" s="133"/>
      <c r="HE283" s="133"/>
      <c r="HF283" s="133"/>
      <c r="HG283" s="133"/>
      <c r="HH283" s="133"/>
      <c r="HI283" s="133"/>
      <c r="HJ283" s="133"/>
      <c r="HK283" s="133"/>
      <c r="HL283" s="133"/>
      <c r="HM283" s="133"/>
      <c r="HN283" s="133"/>
      <c r="HO283" s="133"/>
      <c r="HP283" s="133"/>
      <c r="HQ283" s="133"/>
      <c r="HR283" s="133"/>
      <c r="HS283" s="133"/>
      <c r="HT283" s="133"/>
      <c r="HU283" s="133"/>
      <c r="HV283" s="133"/>
      <c r="HW283" s="133"/>
      <c r="HX283" s="133"/>
      <c r="HY283" s="133"/>
      <c r="HZ283" s="133"/>
      <c r="IA283" s="133"/>
      <c r="IB283" s="133"/>
      <c r="IC283" s="133"/>
      <c r="ID283" s="133"/>
      <c r="IE283" s="133"/>
      <c r="IF283" s="133"/>
      <c r="IG283" s="133"/>
      <c r="IH283" s="133"/>
      <c r="II283" s="133"/>
      <c r="IJ283" s="133"/>
      <c r="IK283" s="133"/>
      <c r="IL283" s="133"/>
      <c r="IM283" s="133"/>
      <c r="IN283" s="133"/>
      <c r="IO283" s="133"/>
      <c r="IP283" s="133"/>
      <c r="IQ283" s="133"/>
      <c r="IR283" s="133"/>
      <c r="IS283" s="133"/>
      <c r="IT283" s="133"/>
      <c r="IU283" s="133"/>
      <c r="IV283" s="133"/>
    </row>
    <row r="284" spans="1:256" s="132" customFormat="1" ht="13.8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GE284" s="133"/>
      <c r="GF284" s="133"/>
      <c r="GG284" s="133"/>
      <c r="GH284" s="133"/>
      <c r="GI284" s="133"/>
      <c r="GJ284" s="133"/>
      <c r="GK284" s="133"/>
      <c r="GL284" s="133"/>
      <c r="GM284" s="133"/>
      <c r="GN284" s="133"/>
      <c r="GO284" s="133"/>
      <c r="GP284" s="133"/>
      <c r="GQ284" s="133"/>
      <c r="GR284" s="133"/>
      <c r="GS284" s="133"/>
      <c r="GT284" s="133"/>
      <c r="GU284" s="133"/>
      <c r="GV284" s="133"/>
      <c r="GW284" s="133"/>
      <c r="GX284" s="133"/>
      <c r="GY284" s="133"/>
      <c r="GZ284" s="133"/>
      <c r="HA284" s="133"/>
      <c r="HB284" s="133"/>
      <c r="HC284" s="133"/>
      <c r="HD284" s="133"/>
      <c r="HE284" s="133"/>
      <c r="HF284" s="133"/>
      <c r="HG284" s="133"/>
      <c r="HH284" s="133"/>
      <c r="HI284" s="133"/>
      <c r="HJ284" s="133"/>
      <c r="HK284" s="133"/>
      <c r="HL284" s="133"/>
      <c r="HM284" s="133"/>
      <c r="HN284" s="133"/>
      <c r="HO284" s="133"/>
      <c r="HP284" s="133"/>
      <c r="HQ284" s="133"/>
      <c r="HR284" s="133"/>
      <c r="HS284" s="133"/>
      <c r="HT284" s="133"/>
      <c r="HU284" s="133"/>
      <c r="HV284" s="133"/>
      <c r="HW284" s="133"/>
      <c r="HX284" s="133"/>
      <c r="HY284" s="133"/>
      <c r="HZ284" s="133"/>
      <c r="IA284" s="133"/>
      <c r="IB284" s="133"/>
      <c r="IC284" s="133"/>
      <c r="ID284" s="133"/>
      <c r="IE284" s="133"/>
      <c r="IF284" s="133"/>
      <c r="IG284" s="133"/>
      <c r="IH284" s="133"/>
      <c r="II284" s="133"/>
      <c r="IJ284" s="133"/>
      <c r="IK284" s="133"/>
      <c r="IL284" s="133"/>
      <c r="IM284" s="133"/>
      <c r="IN284" s="133"/>
      <c r="IO284" s="133"/>
      <c r="IP284" s="133"/>
      <c r="IQ284" s="133"/>
      <c r="IR284" s="133"/>
      <c r="IS284" s="133"/>
      <c r="IT284" s="133"/>
      <c r="IU284" s="133"/>
      <c r="IV284" s="133"/>
    </row>
    <row r="285" spans="1:256" s="132" customFormat="1" ht="13.8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GE285" s="133"/>
      <c r="GF285" s="133"/>
      <c r="GG285" s="133"/>
      <c r="GH285" s="133"/>
      <c r="GI285" s="133"/>
      <c r="GJ285" s="133"/>
      <c r="GK285" s="133"/>
      <c r="GL285" s="133"/>
      <c r="GM285" s="133"/>
      <c r="GN285" s="133"/>
      <c r="GO285" s="133"/>
      <c r="GP285" s="133"/>
      <c r="GQ285" s="133"/>
      <c r="GR285" s="133"/>
      <c r="GS285" s="133"/>
      <c r="GT285" s="133"/>
      <c r="GU285" s="133"/>
      <c r="GV285" s="133"/>
      <c r="GW285" s="133"/>
      <c r="GX285" s="133"/>
      <c r="GY285" s="133"/>
      <c r="GZ285" s="133"/>
      <c r="HA285" s="133"/>
      <c r="HB285" s="133"/>
      <c r="HC285" s="133"/>
      <c r="HD285" s="133"/>
      <c r="HE285" s="133"/>
      <c r="HF285" s="133"/>
      <c r="HG285" s="133"/>
      <c r="HH285" s="133"/>
      <c r="HI285" s="133"/>
      <c r="HJ285" s="133"/>
      <c r="HK285" s="133"/>
      <c r="HL285" s="133"/>
      <c r="HM285" s="133"/>
      <c r="HN285" s="133"/>
      <c r="HO285" s="133"/>
      <c r="HP285" s="133"/>
      <c r="HQ285" s="133"/>
      <c r="HR285" s="133"/>
      <c r="HS285" s="133"/>
      <c r="HT285" s="133"/>
      <c r="HU285" s="133"/>
      <c r="HV285" s="133"/>
      <c r="HW285" s="133"/>
      <c r="HX285" s="133"/>
      <c r="HY285" s="133"/>
      <c r="HZ285" s="133"/>
      <c r="IA285" s="133"/>
      <c r="IB285" s="133"/>
      <c r="IC285" s="133"/>
      <c r="ID285" s="133"/>
      <c r="IE285" s="133"/>
      <c r="IF285" s="133"/>
      <c r="IG285" s="133"/>
      <c r="IH285" s="133"/>
      <c r="II285" s="133"/>
      <c r="IJ285" s="133"/>
      <c r="IK285" s="133"/>
      <c r="IL285" s="133"/>
      <c r="IM285" s="133"/>
      <c r="IN285" s="133"/>
      <c r="IO285" s="133"/>
      <c r="IP285" s="133"/>
      <c r="IQ285" s="133"/>
      <c r="IR285" s="133"/>
      <c r="IS285" s="133"/>
      <c r="IT285" s="133"/>
      <c r="IU285" s="133"/>
      <c r="IV285" s="133"/>
    </row>
    <row r="286" spans="1:256" s="132" customFormat="1" ht="13.8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GE286" s="133"/>
      <c r="GF286" s="133"/>
      <c r="GG286" s="133"/>
      <c r="GH286" s="133"/>
      <c r="GI286" s="133"/>
      <c r="GJ286" s="133"/>
      <c r="GK286" s="133"/>
      <c r="GL286" s="133"/>
      <c r="GM286" s="133"/>
      <c r="GN286" s="133"/>
      <c r="GO286" s="133"/>
      <c r="GP286" s="133"/>
      <c r="GQ286" s="133"/>
      <c r="GR286" s="133"/>
      <c r="GS286" s="133"/>
      <c r="GT286" s="133"/>
      <c r="GU286" s="133"/>
      <c r="GV286" s="133"/>
      <c r="GW286" s="133"/>
      <c r="GX286" s="133"/>
      <c r="GY286" s="133"/>
      <c r="GZ286" s="133"/>
      <c r="HA286" s="133"/>
      <c r="HB286" s="133"/>
      <c r="HC286" s="133"/>
      <c r="HD286" s="133"/>
      <c r="HE286" s="133"/>
      <c r="HF286" s="133"/>
      <c r="HG286" s="133"/>
      <c r="HH286" s="133"/>
      <c r="HI286" s="133"/>
      <c r="HJ286" s="133"/>
      <c r="HK286" s="133"/>
      <c r="HL286" s="133"/>
      <c r="HM286" s="133"/>
      <c r="HN286" s="133"/>
      <c r="HO286" s="133"/>
      <c r="HP286" s="133"/>
      <c r="HQ286" s="133"/>
      <c r="HR286" s="133"/>
      <c r="HS286" s="133"/>
      <c r="HT286" s="133"/>
      <c r="HU286" s="133"/>
      <c r="HV286" s="133"/>
      <c r="HW286" s="133"/>
      <c r="HX286" s="133"/>
      <c r="HY286" s="133"/>
      <c r="HZ286" s="133"/>
      <c r="IA286" s="133"/>
      <c r="IB286" s="133"/>
      <c r="IC286" s="133"/>
      <c r="ID286" s="133"/>
      <c r="IE286" s="133"/>
      <c r="IF286" s="133"/>
      <c r="IG286" s="133"/>
      <c r="IH286" s="133"/>
      <c r="II286" s="133"/>
      <c r="IJ286" s="133"/>
      <c r="IK286" s="133"/>
      <c r="IL286" s="133"/>
      <c r="IM286" s="133"/>
      <c r="IN286" s="133"/>
      <c r="IO286" s="133"/>
      <c r="IP286" s="133"/>
      <c r="IQ286" s="133"/>
      <c r="IR286" s="133"/>
      <c r="IS286" s="133"/>
      <c r="IT286" s="133"/>
      <c r="IU286" s="133"/>
      <c r="IV286" s="133"/>
    </row>
    <row r="287" spans="1:256" s="132" customFormat="1" ht="13.8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GE287" s="133"/>
      <c r="GF287" s="133"/>
      <c r="GG287" s="133"/>
      <c r="GH287" s="133"/>
      <c r="GI287" s="133"/>
      <c r="GJ287" s="133"/>
      <c r="GK287" s="133"/>
      <c r="GL287" s="133"/>
      <c r="GM287" s="133"/>
      <c r="GN287" s="133"/>
      <c r="GO287" s="133"/>
      <c r="GP287" s="133"/>
      <c r="GQ287" s="133"/>
      <c r="GR287" s="133"/>
      <c r="GS287" s="133"/>
      <c r="GT287" s="133"/>
      <c r="GU287" s="133"/>
      <c r="GV287" s="133"/>
      <c r="GW287" s="133"/>
      <c r="GX287" s="133"/>
      <c r="GY287" s="133"/>
      <c r="GZ287" s="133"/>
      <c r="HA287" s="133"/>
      <c r="HB287" s="133"/>
      <c r="HC287" s="133"/>
      <c r="HD287" s="133"/>
      <c r="HE287" s="133"/>
      <c r="HF287" s="133"/>
      <c r="HG287" s="133"/>
      <c r="HH287" s="133"/>
      <c r="HI287" s="133"/>
      <c r="HJ287" s="133"/>
      <c r="HK287" s="133"/>
      <c r="HL287" s="133"/>
      <c r="HM287" s="133"/>
      <c r="HN287" s="133"/>
      <c r="HO287" s="133"/>
      <c r="HP287" s="133"/>
      <c r="HQ287" s="133"/>
      <c r="HR287" s="133"/>
      <c r="HS287" s="133"/>
      <c r="HT287" s="133"/>
      <c r="HU287" s="133"/>
      <c r="HV287" s="133"/>
      <c r="HW287" s="133"/>
      <c r="HX287" s="133"/>
      <c r="HY287" s="133"/>
      <c r="HZ287" s="133"/>
      <c r="IA287" s="133"/>
      <c r="IB287" s="133"/>
      <c r="IC287" s="133"/>
      <c r="ID287" s="133"/>
      <c r="IE287" s="133"/>
      <c r="IF287" s="133"/>
      <c r="IG287" s="133"/>
      <c r="IH287" s="133"/>
      <c r="II287" s="133"/>
      <c r="IJ287" s="133"/>
      <c r="IK287" s="133"/>
      <c r="IL287" s="133"/>
      <c r="IM287" s="133"/>
      <c r="IN287" s="133"/>
      <c r="IO287" s="133"/>
      <c r="IP287" s="133"/>
      <c r="IQ287" s="133"/>
      <c r="IR287" s="133"/>
      <c r="IS287" s="133"/>
      <c r="IT287" s="133"/>
      <c r="IU287" s="133"/>
      <c r="IV287" s="133"/>
    </row>
    <row r="288" spans="1:256" s="132" customFormat="1" ht="13.8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GE288" s="133"/>
      <c r="GF288" s="133"/>
      <c r="GG288" s="133"/>
      <c r="GH288" s="133"/>
      <c r="GI288" s="133"/>
      <c r="GJ288" s="133"/>
      <c r="GK288" s="133"/>
      <c r="GL288" s="133"/>
      <c r="GM288" s="133"/>
      <c r="GN288" s="133"/>
      <c r="GO288" s="133"/>
      <c r="GP288" s="133"/>
      <c r="GQ288" s="133"/>
      <c r="GR288" s="133"/>
      <c r="GS288" s="133"/>
      <c r="GT288" s="133"/>
      <c r="GU288" s="133"/>
      <c r="GV288" s="133"/>
      <c r="GW288" s="133"/>
      <c r="GX288" s="133"/>
      <c r="GY288" s="133"/>
      <c r="GZ288" s="133"/>
      <c r="HA288" s="133"/>
      <c r="HB288" s="133"/>
      <c r="HC288" s="133"/>
      <c r="HD288" s="133"/>
      <c r="HE288" s="133"/>
      <c r="HF288" s="133"/>
      <c r="HG288" s="133"/>
      <c r="HH288" s="133"/>
      <c r="HI288" s="133"/>
      <c r="HJ288" s="133"/>
      <c r="HK288" s="133"/>
      <c r="HL288" s="133"/>
      <c r="HM288" s="133"/>
      <c r="HN288" s="133"/>
      <c r="HO288" s="133"/>
      <c r="HP288" s="133"/>
      <c r="HQ288" s="133"/>
      <c r="HR288" s="133"/>
      <c r="HS288" s="133"/>
      <c r="HT288" s="133"/>
      <c r="HU288" s="133"/>
      <c r="HV288" s="133"/>
      <c r="HW288" s="133"/>
      <c r="HX288" s="133"/>
      <c r="HY288" s="133"/>
      <c r="HZ288" s="133"/>
      <c r="IA288" s="133"/>
      <c r="IB288" s="133"/>
      <c r="IC288" s="133"/>
      <c r="ID288" s="133"/>
      <c r="IE288" s="133"/>
      <c r="IF288" s="133"/>
      <c r="IG288" s="133"/>
      <c r="IH288" s="133"/>
      <c r="II288" s="133"/>
      <c r="IJ288" s="133"/>
      <c r="IK288" s="133"/>
      <c r="IL288" s="133"/>
      <c r="IM288" s="133"/>
      <c r="IN288" s="133"/>
      <c r="IO288" s="133"/>
      <c r="IP288" s="133"/>
      <c r="IQ288" s="133"/>
      <c r="IR288" s="133"/>
      <c r="IS288" s="133"/>
      <c r="IT288" s="133"/>
      <c r="IU288" s="133"/>
      <c r="IV288" s="133"/>
    </row>
    <row r="289" spans="1:256" s="132" customFormat="1" ht="13.8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GE289" s="133"/>
      <c r="GF289" s="133"/>
      <c r="GG289" s="133"/>
      <c r="GH289" s="133"/>
      <c r="GI289" s="133"/>
      <c r="GJ289" s="133"/>
      <c r="GK289" s="133"/>
      <c r="GL289" s="133"/>
      <c r="GM289" s="133"/>
      <c r="GN289" s="133"/>
      <c r="GO289" s="133"/>
      <c r="GP289" s="133"/>
      <c r="GQ289" s="133"/>
      <c r="GR289" s="133"/>
      <c r="GS289" s="133"/>
      <c r="GT289" s="133"/>
      <c r="GU289" s="133"/>
      <c r="GV289" s="133"/>
      <c r="GW289" s="133"/>
      <c r="GX289" s="133"/>
      <c r="GY289" s="133"/>
      <c r="GZ289" s="133"/>
      <c r="HA289" s="133"/>
      <c r="HB289" s="133"/>
      <c r="HC289" s="133"/>
      <c r="HD289" s="133"/>
      <c r="HE289" s="133"/>
      <c r="HF289" s="133"/>
      <c r="HG289" s="133"/>
      <c r="HH289" s="133"/>
      <c r="HI289" s="133"/>
      <c r="HJ289" s="133"/>
      <c r="HK289" s="133"/>
      <c r="HL289" s="133"/>
      <c r="HM289" s="133"/>
      <c r="HN289" s="133"/>
      <c r="HO289" s="133"/>
      <c r="HP289" s="133"/>
      <c r="HQ289" s="133"/>
      <c r="HR289" s="133"/>
      <c r="HS289" s="133"/>
      <c r="HT289" s="133"/>
      <c r="HU289" s="133"/>
      <c r="HV289" s="133"/>
      <c r="HW289" s="133"/>
      <c r="HX289" s="133"/>
      <c r="HY289" s="133"/>
      <c r="HZ289" s="133"/>
      <c r="IA289" s="133"/>
      <c r="IB289" s="133"/>
      <c r="IC289" s="133"/>
      <c r="ID289" s="133"/>
      <c r="IE289" s="133"/>
      <c r="IF289" s="133"/>
      <c r="IG289" s="133"/>
      <c r="IH289" s="133"/>
      <c r="II289" s="133"/>
      <c r="IJ289" s="133"/>
      <c r="IK289" s="133"/>
      <c r="IL289" s="133"/>
      <c r="IM289" s="133"/>
      <c r="IN289" s="133"/>
      <c r="IO289" s="133"/>
      <c r="IP289" s="133"/>
      <c r="IQ289" s="133"/>
      <c r="IR289" s="133"/>
      <c r="IS289" s="133"/>
      <c r="IT289" s="133"/>
      <c r="IU289" s="133"/>
      <c r="IV289" s="133"/>
    </row>
    <row r="290" spans="1:256" s="132" customFormat="1" ht="13.8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GE290" s="133"/>
      <c r="GF290" s="133"/>
      <c r="GG290" s="133"/>
      <c r="GH290" s="133"/>
      <c r="GI290" s="133"/>
      <c r="GJ290" s="133"/>
      <c r="GK290" s="133"/>
      <c r="GL290" s="133"/>
      <c r="GM290" s="133"/>
      <c r="GN290" s="133"/>
      <c r="GO290" s="133"/>
      <c r="GP290" s="133"/>
      <c r="GQ290" s="133"/>
      <c r="GR290" s="133"/>
      <c r="GS290" s="133"/>
      <c r="GT290" s="133"/>
      <c r="GU290" s="133"/>
      <c r="GV290" s="133"/>
      <c r="GW290" s="133"/>
      <c r="GX290" s="133"/>
      <c r="GY290" s="133"/>
      <c r="GZ290" s="133"/>
      <c r="HA290" s="133"/>
      <c r="HB290" s="133"/>
      <c r="HC290" s="133"/>
      <c r="HD290" s="133"/>
      <c r="HE290" s="133"/>
      <c r="HF290" s="133"/>
      <c r="HG290" s="133"/>
      <c r="HH290" s="133"/>
      <c r="HI290" s="133"/>
      <c r="HJ290" s="133"/>
      <c r="HK290" s="133"/>
      <c r="HL290" s="133"/>
      <c r="HM290" s="133"/>
      <c r="HN290" s="133"/>
      <c r="HO290" s="133"/>
      <c r="HP290" s="133"/>
      <c r="HQ290" s="133"/>
      <c r="HR290" s="133"/>
      <c r="HS290" s="133"/>
      <c r="HT290" s="133"/>
      <c r="HU290" s="133"/>
      <c r="HV290" s="133"/>
      <c r="HW290" s="133"/>
      <c r="HX290" s="133"/>
      <c r="HY290" s="133"/>
      <c r="HZ290" s="133"/>
      <c r="IA290" s="133"/>
      <c r="IB290" s="133"/>
      <c r="IC290" s="133"/>
      <c r="ID290" s="133"/>
      <c r="IE290" s="133"/>
      <c r="IF290" s="133"/>
      <c r="IG290" s="133"/>
      <c r="IH290" s="133"/>
      <c r="II290" s="133"/>
      <c r="IJ290" s="133"/>
      <c r="IK290" s="133"/>
      <c r="IL290" s="133"/>
      <c r="IM290" s="133"/>
      <c r="IN290" s="133"/>
      <c r="IO290" s="133"/>
      <c r="IP290" s="133"/>
      <c r="IQ290" s="133"/>
      <c r="IR290" s="133"/>
      <c r="IS290" s="133"/>
      <c r="IT290" s="133"/>
      <c r="IU290" s="133"/>
      <c r="IV290" s="133"/>
    </row>
    <row r="291" spans="1:256" s="132" customFormat="1" ht="13.8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GE291" s="133"/>
      <c r="GF291" s="133"/>
      <c r="GG291" s="133"/>
      <c r="GH291" s="133"/>
      <c r="GI291" s="133"/>
      <c r="GJ291" s="133"/>
      <c r="GK291" s="133"/>
      <c r="GL291" s="133"/>
      <c r="GM291" s="133"/>
      <c r="GN291" s="133"/>
      <c r="GO291" s="133"/>
      <c r="GP291" s="133"/>
      <c r="GQ291" s="133"/>
      <c r="GR291" s="133"/>
      <c r="GS291" s="133"/>
      <c r="GT291" s="133"/>
      <c r="GU291" s="133"/>
      <c r="GV291" s="133"/>
      <c r="GW291" s="133"/>
      <c r="GX291" s="133"/>
      <c r="GY291" s="133"/>
      <c r="GZ291" s="133"/>
      <c r="HA291" s="133"/>
      <c r="HB291" s="133"/>
      <c r="HC291" s="133"/>
      <c r="HD291" s="133"/>
      <c r="HE291" s="133"/>
      <c r="HF291" s="133"/>
      <c r="HG291" s="133"/>
      <c r="HH291" s="133"/>
      <c r="HI291" s="133"/>
      <c r="HJ291" s="133"/>
      <c r="HK291" s="133"/>
      <c r="HL291" s="133"/>
      <c r="HM291" s="133"/>
      <c r="HN291" s="133"/>
      <c r="HO291" s="133"/>
      <c r="HP291" s="133"/>
      <c r="HQ291" s="133"/>
      <c r="HR291" s="133"/>
      <c r="HS291" s="133"/>
      <c r="HT291" s="133"/>
      <c r="HU291" s="133"/>
      <c r="HV291" s="133"/>
      <c r="HW291" s="133"/>
      <c r="HX291" s="133"/>
      <c r="HY291" s="133"/>
      <c r="HZ291" s="133"/>
      <c r="IA291" s="133"/>
      <c r="IB291" s="133"/>
      <c r="IC291" s="133"/>
      <c r="ID291" s="133"/>
      <c r="IE291" s="133"/>
      <c r="IF291" s="133"/>
      <c r="IG291" s="133"/>
      <c r="IH291" s="133"/>
      <c r="II291" s="133"/>
      <c r="IJ291" s="133"/>
      <c r="IK291" s="133"/>
      <c r="IL291" s="133"/>
      <c r="IM291" s="133"/>
      <c r="IN291" s="133"/>
      <c r="IO291" s="133"/>
      <c r="IP291" s="133"/>
      <c r="IQ291" s="133"/>
      <c r="IR291" s="133"/>
      <c r="IS291" s="133"/>
      <c r="IT291" s="133"/>
      <c r="IU291" s="133"/>
      <c r="IV291" s="133"/>
    </row>
    <row r="292" spans="1:256" s="132" customFormat="1" ht="13.8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GE292" s="133"/>
      <c r="GF292" s="133"/>
      <c r="GG292" s="133"/>
      <c r="GH292" s="133"/>
      <c r="GI292" s="133"/>
      <c r="GJ292" s="133"/>
      <c r="GK292" s="133"/>
      <c r="GL292" s="133"/>
      <c r="GM292" s="133"/>
      <c r="GN292" s="133"/>
      <c r="GO292" s="133"/>
      <c r="GP292" s="133"/>
      <c r="GQ292" s="133"/>
      <c r="GR292" s="133"/>
      <c r="GS292" s="133"/>
      <c r="GT292" s="133"/>
      <c r="GU292" s="133"/>
      <c r="GV292" s="133"/>
      <c r="GW292" s="133"/>
      <c r="GX292" s="133"/>
      <c r="GY292" s="133"/>
      <c r="GZ292" s="133"/>
      <c r="HA292" s="133"/>
      <c r="HB292" s="133"/>
      <c r="HC292" s="133"/>
      <c r="HD292" s="133"/>
      <c r="HE292" s="133"/>
      <c r="HF292" s="133"/>
      <c r="HG292" s="133"/>
      <c r="HH292" s="133"/>
      <c r="HI292" s="133"/>
      <c r="HJ292" s="133"/>
      <c r="HK292" s="133"/>
      <c r="HL292" s="133"/>
      <c r="HM292" s="133"/>
      <c r="HN292" s="133"/>
      <c r="HO292" s="133"/>
      <c r="HP292" s="133"/>
      <c r="HQ292" s="133"/>
      <c r="HR292" s="133"/>
      <c r="HS292" s="133"/>
      <c r="HT292" s="133"/>
      <c r="HU292" s="133"/>
      <c r="HV292" s="133"/>
      <c r="HW292" s="133"/>
      <c r="HX292" s="133"/>
      <c r="HY292" s="133"/>
      <c r="HZ292" s="133"/>
      <c r="IA292" s="133"/>
      <c r="IB292" s="133"/>
      <c r="IC292" s="133"/>
      <c r="ID292" s="133"/>
      <c r="IE292" s="133"/>
      <c r="IF292" s="133"/>
      <c r="IG292" s="133"/>
      <c r="IH292" s="133"/>
      <c r="II292" s="133"/>
      <c r="IJ292" s="133"/>
      <c r="IK292" s="133"/>
      <c r="IL292" s="133"/>
      <c r="IM292" s="133"/>
      <c r="IN292" s="133"/>
      <c r="IO292" s="133"/>
      <c r="IP292" s="133"/>
      <c r="IQ292" s="133"/>
      <c r="IR292" s="133"/>
      <c r="IS292" s="133"/>
      <c r="IT292" s="133"/>
      <c r="IU292" s="133"/>
      <c r="IV292" s="133"/>
    </row>
    <row r="293" spans="1:256" s="132" customFormat="1" ht="13.8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GE293" s="133"/>
      <c r="GF293" s="133"/>
      <c r="GG293" s="133"/>
      <c r="GH293" s="133"/>
      <c r="GI293" s="133"/>
      <c r="GJ293" s="133"/>
      <c r="GK293" s="133"/>
      <c r="GL293" s="133"/>
      <c r="GM293" s="133"/>
      <c r="GN293" s="133"/>
      <c r="GO293" s="133"/>
      <c r="GP293" s="133"/>
      <c r="GQ293" s="133"/>
      <c r="GR293" s="133"/>
      <c r="GS293" s="133"/>
      <c r="GT293" s="133"/>
      <c r="GU293" s="133"/>
      <c r="GV293" s="133"/>
      <c r="GW293" s="133"/>
      <c r="GX293" s="133"/>
      <c r="GY293" s="133"/>
      <c r="GZ293" s="133"/>
      <c r="HA293" s="133"/>
      <c r="HB293" s="133"/>
      <c r="HC293" s="133"/>
      <c r="HD293" s="133"/>
      <c r="HE293" s="133"/>
      <c r="HF293" s="133"/>
      <c r="HG293" s="133"/>
      <c r="HH293" s="133"/>
      <c r="HI293" s="133"/>
      <c r="HJ293" s="133"/>
      <c r="HK293" s="133"/>
      <c r="HL293" s="133"/>
      <c r="HM293" s="133"/>
      <c r="HN293" s="133"/>
      <c r="HO293" s="133"/>
      <c r="HP293" s="133"/>
      <c r="HQ293" s="133"/>
      <c r="HR293" s="133"/>
      <c r="HS293" s="133"/>
      <c r="HT293" s="133"/>
      <c r="HU293" s="133"/>
      <c r="HV293" s="133"/>
      <c r="HW293" s="133"/>
      <c r="HX293" s="133"/>
      <c r="HY293" s="133"/>
      <c r="HZ293" s="133"/>
      <c r="IA293" s="133"/>
      <c r="IB293" s="133"/>
      <c r="IC293" s="133"/>
      <c r="ID293" s="133"/>
      <c r="IE293" s="133"/>
      <c r="IF293" s="133"/>
      <c r="IG293" s="133"/>
      <c r="IH293" s="133"/>
      <c r="II293" s="133"/>
      <c r="IJ293" s="133"/>
      <c r="IK293" s="133"/>
      <c r="IL293" s="133"/>
      <c r="IM293" s="133"/>
      <c r="IN293" s="133"/>
      <c r="IO293" s="133"/>
      <c r="IP293" s="133"/>
      <c r="IQ293" s="133"/>
      <c r="IR293" s="133"/>
      <c r="IS293" s="133"/>
      <c r="IT293" s="133"/>
      <c r="IU293" s="133"/>
      <c r="IV293" s="133"/>
    </row>
    <row r="294" spans="1:256" s="132" customFormat="1" ht="13.8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GE294" s="133"/>
      <c r="GF294" s="133"/>
      <c r="GG294" s="133"/>
      <c r="GH294" s="133"/>
      <c r="GI294" s="133"/>
      <c r="GJ294" s="133"/>
      <c r="GK294" s="133"/>
      <c r="GL294" s="133"/>
      <c r="GM294" s="133"/>
      <c r="GN294" s="133"/>
      <c r="GO294" s="133"/>
      <c r="GP294" s="133"/>
      <c r="GQ294" s="133"/>
      <c r="GR294" s="133"/>
      <c r="GS294" s="133"/>
      <c r="GT294" s="133"/>
      <c r="GU294" s="133"/>
      <c r="GV294" s="133"/>
      <c r="GW294" s="133"/>
      <c r="GX294" s="133"/>
      <c r="GY294" s="133"/>
      <c r="GZ294" s="133"/>
      <c r="HA294" s="133"/>
      <c r="HB294" s="133"/>
      <c r="HC294" s="133"/>
      <c r="HD294" s="133"/>
      <c r="HE294" s="133"/>
      <c r="HF294" s="133"/>
      <c r="HG294" s="133"/>
      <c r="HH294" s="133"/>
      <c r="HI294" s="133"/>
      <c r="HJ294" s="133"/>
      <c r="HK294" s="133"/>
      <c r="HL294" s="133"/>
      <c r="HM294" s="133"/>
      <c r="HN294" s="133"/>
      <c r="HO294" s="133"/>
      <c r="HP294" s="133"/>
      <c r="HQ294" s="133"/>
      <c r="HR294" s="133"/>
      <c r="HS294" s="133"/>
      <c r="HT294" s="133"/>
      <c r="HU294" s="133"/>
      <c r="HV294" s="133"/>
      <c r="HW294" s="133"/>
      <c r="HX294" s="133"/>
      <c r="HY294" s="133"/>
      <c r="HZ294" s="133"/>
      <c r="IA294" s="133"/>
      <c r="IB294" s="133"/>
      <c r="IC294" s="133"/>
      <c r="ID294" s="133"/>
      <c r="IE294" s="133"/>
      <c r="IF294" s="133"/>
      <c r="IG294" s="133"/>
      <c r="IH294" s="133"/>
      <c r="II294" s="133"/>
      <c r="IJ294" s="133"/>
      <c r="IK294" s="133"/>
      <c r="IL294" s="133"/>
      <c r="IM294" s="133"/>
      <c r="IN294" s="133"/>
      <c r="IO294" s="133"/>
      <c r="IP294" s="133"/>
      <c r="IQ294" s="133"/>
      <c r="IR294" s="133"/>
      <c r="IS294" s="133"/>
      <c r="IT294" s="133"/>
      <c r="IU294" s="133"/>
      <c r="IV294" s="133"/>
    </row>
    <row r="295" spans="1:256" s="132" customFormat="1" ht="13.8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GE295" s="133"/>
      <c r="GF295" s="133"/>
      <c r="GG295" s="133"/>
      <c r="GH295" s="133"/>
      <c r="GI295" s="133"/>
      <c r="GJ295" s="133"/>
      <c r="GK295" s="133"/>
      <c r="GL295" s="133"/>
      <c r="GM295" s="133"/>
      <c r="GN295" s="133"/>
      <c r="GO295" s="133"/>
      <c r="GP295" s="133"/>
      <c r="GQ295" s="133"/>
      <c r="GR295" s="133"/>
      <c r="GS295" s="133"/>
      <c r="GT295" s="133"/>
      <c r="GU295" s="133"/>
      <c r="GV295" s="133"/>
      <c r="GW295" s="133"/>
      <c r="GX295" s="133"/>
      <c r="GY295" s="133"/>
      <c r="GZ295" s="133"/>
      <c r="HA295" s="133"/>
      <c r="HB295" s="133"/>
      <c r="HC295" s="133"/>
      <c r="HD295" s="133"/>
      <c r="HE295" s="133"/>
      <c r="HF295" s="133"/>
      <c r="HG295" s="133"/>
      <c r="HH295" s="133"/>
      <c r="HI295" s="133"/>
      <c r="HJ295" s="133"/>
      <c r="HK295" s="133"/>
      <c r="HL295" s="133"/>
      <c r="HM295" s="133"/>
      <c r="HN295" s="133"/>
      <c r="HO295" s="133"/>
      <c r="HP295" s="133"/>
      <c r="HQ295" s="133"/>
      <c r="HR295" s="133"/>
      <c r="HS295" s="133"/>
      <c r="HT295" s="133"/>
      <c r="HU295" s="133"/>
      <c r="HV295" s="133"/>
      <c r="HW295" s="133"/>
      <c r="HX295" s="133"/>
      <c r="HY295" s="133"/>
      <c r="HZ295" s="133"/>
      <c r="IA295" s="133"/>
      <c r="IB295" s="133"/>
      <c r="IC295" s="133"/>
      <c r="ID295" s="133"/>
      <c r="IE295" s="133"/>
      <c r="IF295" s="133"/>
      <c r="IG295" s="133"/>
      <c r="IH295" s="133"/>
      <c r="II295" s="133"/>
      <c r="IJ295" s="133"/>
      <c r="IK295" s="133"/>
      <c r="IL295" s="133"/>
      <c r="IM295" s="133"/>
      <c r="IN295" s="133"/>
      <c r="IO295" s="133"/>
      <c r="IP295" s="133"/>
      <c r="IQ295" s="133"/>
      <c r="IR295" s="133"/>
      <c r="IS295" s="133"/>
      <c r="IT295" s="133"/>
      <c r="IU295" s="133"/>
      <c r="IV295" s="133"/>
    </row>
    <row r="296" spans="1:256" s="132" customFormat="1" ht="13.8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GE296" s="133"/>
      <c r="GF296" s="133"/>
      <c r="GG296" s="133"/>
      <c r="GH296" s="133"/>
      <c r="GI296" s="133"/>
      <c r="GJ296" s="133"/>
      <c r="GK296" s="133"/>
      <c r="GL296" s="133"/>
      <c r="GM296" s="133"/>
      <c r="GN296" s="133"/>
      <c r="GO296" s="133"/>
      <c r="GP296" s="133"/>
      <c r="GQ296" s="133"/>
      <c r="GR296" s="133"/>
      <c r="GS296" s="133"/>
      <c r="GT296" s="133"/>
      <c r="GU296" s="133"/>
      <c r="GV296" s="133"/>
      <c r="GW296" s="133"/>
      <c r="GX296" s="133"/>
      <c r="GY296" s="133"/>
      <c r="GZ296" s="133"/>
      <c r="HA296" s="133"/>
      <c r="HB296" s="133"/>
      <c r="HC296" s="133"/>
      <c r="HD296" s="133"/>
      <c r="HE296" s="133"/>
      <c r="HF296" s="133"/>
      <c r="HG296" s="133"/>
      <c r="HH296" s="133"/>
      <c r="HI296" s="133"/>
      <c r="HJ296" s="133"/>
      <c r="HK296" s="133"/>
      <c r="HL296" s="133"/>
      <c r="HM296" s="133"/>
      <c r="HN296" s="133"/>
      <c r="HO296" s="133"/>
      <c r="HP296" s="133"/>
      <c r="HQ296" s="133"/>
      <c r="HR296" s="133"/>
      <c r="HS296" s="133"/>
      <c r="HT296" s="133"/>
      <c r="HU296" s="133"/>
      <c r="HV296" s="133"/>
      <c r="HW296" s="133"/>
      <c r="HX296" s="133"/>
      <c r="HY296" s="133"/>
      <c r="HZ296" s="133"/>
      <c r="IA296" s="133"/>
      <c r="IB296" s="133"/>
      <c r="IC296" s="133"/>
      <c r="ID296" s="133"/>
      <c r="IE296" s="133"/>
      <c r="IF296" s="133"/>
      <c r="IG296" s="133"/>
      <c r="IH296" s="133"/>
      <c r="II296" s="133"/>
      <c r="IJ296" s="133"/>
      <c r="IK296" s="133"/>
      <c r="IL296" s="133"/>
      <c r="IM296" s="133"/>
      <c r="IN296" s="133"/>
      <c r="IO296" s="133"/>
      <c r="IP296" s="133"/>
      <c r="IQ296" s="133"/>
      <c r="IR296" s="133"/>
      <c r="IS296" s="133"/>
      <c r="IT296" s="133"/>
      <c r="IU296" s="133"/>
      <c r="IV296" s="133"/>
    </row>
    <row r="297" spans="1:256" s="132" customFormat="1" ht="13.8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GE297" s="133"/>
      <c r="GF297" s="133"/>
      <c r="GG297" s="133"/>
      <c r="GH297" s="133"/>
      <c r="GI297" s="133"/>
      <c r="GJ297" s="133"/>
      <c r="GK297" s="133"/>
      <c r="GL297" s="133"/>
      <c r="GM297" s="133"/>
      <c r="GN297" s="133"/>
      <c r="GO297" s="133"/>
      <c r="GP297" s="133"/>
      <c r="GQ297" s="133"/>
      <c r="GR297" s="133"/>
      <c r="GS297" s="133"/>
      <c r="GT297" s="133"/>
      <c r="GU297" s="133"/>
      <c r="GV297" s="133"/>
      <c r="GW297" s="133"/>
      <c r="GX297" s="133"/>
      <c r="GY297" s="133"/>
      <c r="GZ297" s="133"/>
      <c r="HA297" s="133"/>
      <c r="HB297" s="133"/>
      <c r="HC297" s="133"/>
      <c r="HD297" s="133"/>
      <c r="HE297" s="133"/>
      <c r="HF297" s="133"/>
      <c r="HG297" s="133"/>
      <c r="HH297" s="133"/>
      <c r="HI297" s="133"/>
      <c r="HJ297" s="133"/>
      <c r="HK297" s="133"/>
      <c r="HL297" s="133"/>
      <c r="HM297" s="133"/>
      <c r="HN297" s="133"/>
      <c r="HO297" s="133"/>
      <c r="HP297" s="133"/>
      <c r="HQ297" s="133"/>
      <c r="HR297" s="133"/>
      <c r="HS297" s="133"/>
      <c r="HT297" s="133"/>
      <c r="HU297" s="133"/>
      <c r="HV297" s="133"/>
      <c r="HW297" s="133"/>
      <c r="HX297" s="133"/>
      <c r="HY297" s="133"/>
      <c r="HZ297" s="133"/>
      <c r="IA297" s="133"/>
      <c r="IB297" s="133"/>
      <c r="IC297" s="133"/>
      <c r="ID297" s="133"/>
      <c r="IE297" s="133"/>
      <c r="IF297" s="133"/>
      <c r="IG297" s="133"/>
      <c r="IH297" s="133"/>
      <c r="II297" s="133"/>
      <c r="IJ297" s="133"/>
      <c r="IK297" s="133"/>
      <c r="IL297" s="133"/>
      <c r="IM297" s="133"/>
      <c r="IN297" s="133"/>
      <c r="IO297" s="133"/>
      <c r="IP297" s="133"/>
      <c r="IQ297" s="133"/>
      <c r="IR297" s="133"/>
      <c r="IS297" s="133"/>
      <c r="IT297" s="133"/>
      <c r="IU297" s="133"/>
      <c r="IV297" s="133"/>
    </row>
    <row r="298" spans="1:256" s="132" customFormat="1" ht="13.8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GE298" s="133"/>
      <c r="GF298" s="133"/>
      <c r="GG298" s="133"/>
      <c r="GH298" s="133"/>
      <c r="GI298" s="133"/>
      <c r="GJ298" s="133"/>
      <c r="GK298" s="133"/>
      <c r="GL298" s="133"/>
      <c r="GM298" s="133"/>
      <c r="GN298" s="133"/>
      <c r="GO298" s="133"/>
      <c r="GP298" s="133"/>
      <c r="GQ298" s="133"/>
      <c r="GR298" s="133"/>
      <c r="GS298" s="133"/>
      <c r="GT298" s="133"/>
      <c r="GU298" s="133"/>
      <c r="GV298" s="133"/>
      <c r="GW298" s="133"/>
      <c r="GX298" s="133"/>
      <c r="GY298" s="133"/>
      <c r="GZ298" s="133"/>
      <c r="HA298" s="133"/>
      <c r="HB298" s="133"/>
      <c r="HC298" s="133"/>
      <c r="HD298" s="133"/>
      <c r="HE298" s="133"/>
      <c r="HF298" s="133"/>
      <c r="HG298" s="133"/>
      <c r="HH298" s="133"/>
      <c r="HI298" s="133"/>
      <c r="HJ298" s="133"/>
      <c r="HK298" s="133"/>
      <c r="HL298" s="133"/>
      <c r="HM298" s="133"/>
      <c r="HN298" s="133"/>
      <c r="HO298" s="133"/>
      <c r="HP298" s="133"/>
      <c r="HQ298" s="133"/>
      <c r="HR298" s="133"/>
      <c r="HS298" s="133"/>
      <c r="HT298" s="133"/>
      <c r="HU298" s="133"/>
      <c r="HV298" s="133"/>
      <c r="HW298" s="133"/>
      <c r="HX298" s="133"/>
      <c r="HY298" s="133"/>
      <c r="HZ298" s="133"/>
      <c r="IA298" s="133"/>
      <c r="IB298" s="133"/>
      <c r="IC298" s="133"/>
      <c r="ID298" s="133"/>
      <c r="IE298" s="133"/>
      <c r="IF298" s="133"/>
      <c r="IG298" s="133"/>
      <c r="IH298" s="133"/>
      <c r="II298" s="133"/>
      <c r="IJ298" s="133"/>
      <c r="IK298" s="133"/>
      <c r="IL298" s="133"/>
      <c r="IM298" s="133"/>
      <c r="IN298" s="133"/>
      <c r="IO298" s="133"/>
      <c r="IP298" s="133"/>
      <c r="IQ298" s="133"/>
      <c r="IR298" s="133"/>
      <c r="IS298" s="133"/>
      <c r="IT298" s="133"/>
      <c r="IU298" s="133"/>
      <c r="IV298" s="133"/>
    </row>
    <row r="299" spans="1:256" s="132" customFormat="1" ht="13.8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GE299" s="133"/>
      <c r="GF299" s="133"/>
      <c r="GG299" s="133"/>
      <c r="GH299" s="133"/>
      <c r="GI299" s="133"/>
      <c r="GJ299" s="133"/>
      <c r="GK299" s="133"/>
      <c r="GL299" s="133"/>
      <c r="GM299" s="133"/>
      <c r="GN299" s="133"/>
      <c r="GO299" s="133"/>
      <c r="GP299" s="133"/>
      <c r="GQ299" s="133"/>
      <c r="GR299" s="133"/>
      <c r="GS299" s="133"/>
      <c r="GT299" s="133"/>
      <c r="GU299" s="133"/>
      <c r="GV299" s="133"/>
      <c r="GW299" s="133"/>
      <c r="GX299" s="133"/>
      <c r="GY299" s="133"/>
      <c r="GZ299" s="133"/>
      <c r="HA299" s="133"/>
      <c r="HB299" s="133"/>
      <c r="HC299" s="133"/>
      <c r="HD299" s="133"/>
      <c r="HE299" s="133"/>
      <c r="HF299" s="133"/>
      <c r="HG299" s="133"/>
      <c r="HH299" s="133"/>
      <c r="HI299" s="133"/>
      <c r="HJ299" s="133"/>
      <c r="HK299" s="133"/>
      <c r="HL299" s="133"/>
      <c r="HM299" s="133"/>
      <c r="HN299" s="133"/>
      <c r="HO299" s="133"/>
      <c r="HP299" s="133"/>
      <c r="HQ299" s="133"/>
      <c r="HR299" s="133"/>
      <c r="HS299" s="133"/>
      <c r="HT299" s="133"/>
      <c r="HU299" s="133"/>
      <c r="HV299" s="133"/>
      <c r="HW299" s="133"/>
      <c r="HX299" s="133"/>
      <c r="HY299" s="133"/>
      <c r="HZ299" s="133"/>
      <c r="IA299" s="133"/>
      <c r="IB299" s="133"/>
      <c r="IC299" s="133"/>
      <c r="ID299" s="133"/>
      <c r="IE299" s="133"/>
      <c r="IF299" s="133"/>
      <c r="IG299" s="133"/>
      <c r="IH299" s="133"/>
      <c r="II299" s="133"/>
      <c r="IJ299" s="133"/>
      <c r="IK299" s="133"/>
      <c r="IL299" s="133"/>
      <c r="IM299" s="133"/>
      <c r="IN299" s="133"/>
      <c r="IO299" s="133"/>
      <c r="IP299" s="133"/>
      <c r="IQ299" s="133"/>
      <c r="IR299" s="133"/>
      <c r="IS299" s="133"/>
      <c r="IT299" s="133"/>
      <c r="IU299" s="133"/>
      <c r="IV299" s="133"/>
    </row>
    <row r="300" spans="1:256" s="132" customFormat="1" ht="13.8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GE300" s="133"/>
      <c r="GF300" s="133"/>
      <c r="GG300" s="133"/>
      <c r="GH300" s="133"/>
      <c r="GI300" s="133"/>
      <c r="GJ300" s="133"/>
      <c r="GK300" s="133"/>
      <c r="GL300" s="133"/>
      <c r="GM300" s="133"/>
      <c r="GN300" s="133"/>
      <c r="GO300" s="133"/>
      <c r="GP300" s="133"/>
      <c r="GQ300" s="133"/>
      <c r="GR300" s="133"/>
      <c r="GS300" s="133"/>
      <c r="GT300" s="133"/>
      <c r="GU300" s="133"/>
      <c r="GV300" s="133"/>
      <c r="GW300" s="133"/>
      <c r="GX300" s="133"/>
      <c r="GY300" s="133"/>
      <c r="GZ300" s="133"/>
      <c r="HA300" s="133"/>
      <c r="HB300" s="133"/>
      <c r="HC300" s="133"/>
      <c r="HD300" s="133"/>
      <c r="HE300" s="133"/>
      <c r="HF300" s="133"/>
      <c r="HG300" s="133"/>
      <c r="HH300" s="133"/>
      <c r="HI300" s="133"/>
      <c r="HJ300" s="133"/>
      <c r="HK300" s="133"/>
      <c r="HL300" s="133"/>
      <c r="HM300" s="133"/>
      <c r="HN300" s="133"/>
      <c r="HO300" s="133"/>
      <c r="HP300" s="133"/>
      <c r="HQ300" s="133"/>
      <c r="HR300" s="133"/>
      <c r="HS300" s="133"/>
      <c r="HT300" s="133"/>
      <c r="HU300" s="133"/>
      <c r="HV300" s="133"/>
      <c r="HW300" s="133"/>
      <c r="HX300" s="133"/>
      <c r="HY300" s="133"/>
      <c r="HZ300" s="133"/>
      <c r="IA300" s="133"/>
      <c r="IB300" s="133"/>
      <c r="IC300" s="133"/>
      <c r="ID300" s="133"/>
      <c r="IE300" s="133"/>
      <c r="IF300" s="133"/>
      <c r="IG300" s="133"/>
      <c r="IH300" s="133"/>
      <c r="II300" s="133"/>
      <c r="IJ300" s="133"/>
      <c r="IK300" s="133"/>
      <c r="IL300" s="133"/>
      <c r="IM300" s="133"/>
      <c r="IN300" s="133"/>
      <c r="IO300" s="133"/>
      <c r="IP300" s="133"/>
      <c r="IQ300" s="133"/>
      <c r="IR300" s="133"/>
      <c r="IS300" s="133"/>
      <c r="IT300" s="133"/>
      <c r="IU300" s="133"/>
      <c r="IV300" s="133"/>
    </row>
    <row r="301" spans="1:256" s="132" customFormat="1" ht="13.8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GE301" s="133"/>
      <c r="GF301" s="133"/>
      <c r="GG301" s="133"/>
      <c r="GH301" s="133"/>
      <c r="GI301" s="133"/>
      <c r="GJ301" s="133"/>
      <c r="GK301" s="133"/>
      <c r="GL301" s="133"/>
      <c r="GM301" s="133"/>
      <c r="GN301" s="133"/>
      <c r="GO301" s="133"/>
      <c r="GP301" s="133"/>
      <c r="GQ301" s="133"/>
      <c r="GR301" s="133"/>
      <c r="GS301" s="133"/>
      <c r="GT301" s="133"/>
      <c r="GU301" s="133"/>
      <c r="GV301" s="133"/>
      <c r="GW301" s="133"/>
      <c r="GX301" s="133"/>
      <c r="GY301" s="133"/>
      <c r="GZ301" s="133"/>
      <c r="HA301" s="133"/>
      <c r="HB301" s="133"/>
      <c r="HC301" s="133"/>
      <c r="HD301" s="133"/>
      <c r="HE301" s="133"/>
      <c r="HF301" s="133"/>
      <c r="HG301" s="133"/>
      <c r="HH301" s="133"/>
      <c r="HI301" s="133"/>
      <c r="HJ301" s="133"/>
      <c r="HK301" s="133"/>
      <c r="HL301" s="133"/>
      <c r="HM301" s="133"/>
      <c r="HN301" s="133"/>
      <c r="HO301" s="133"/>
      <c r="HP301" s="133"/>
      <c r="HQ301" s="133"/>
      <c r="HR301" s="133"/>
      <c r="HS301" s="133"/>
      <c r="HT301" s="133"/>
      <c r="HU301" s="133"/>
      <c r="HV301" s="133"/>
      <c r="HW301" s="133"/>
      <c r="HX301" s="133"/>
      <c r="HY301" s="133"/>
      <c r="HZ301" s="133"/>
      <c r="IA301" s="133"/>
      <c r="IB301" s="133"/>
      <c r="IC301" s="133"/>
      <c r="ID301" s="133"/>
      <c r="IE301" s="133"/>
      <c r="IF301" s="133"/>
      <c r="IG301" s="133"/>
      <c r="IH301" s="133"/>
      <c r="II301" s="133"/>
      <c r="IJ301" s="133"/>
      <c r="IK301" s="133"/>
      <c r="IL301" s="133"/>
      <c r="IM301" s="133"/>
      <c r="IN301" s="133"/>
      <c r="IO301" s="133"/>
      <c r="IP301" s="133"/>
      <c r="IQ301" s="133"/>
      <c r="IR301" s="133"/>
      <c r="IS301" s="133"/>
      <c r="IT301" s="133"/>
      <c r="IU301" s="133"/>
      <c r="IV301" s="133"/>
    </row>
    <row r="302" spans="1:256" s="132" customFormat="1" ht="13.8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GE302" s="133"/>
      <c r="GF302" s="133"/>
      <c r="GG302" s="133"/>
      <c r="GH302" s="133"/>
      <c r="GI302" s="133"/>
      <c r="GJ302" s="133"/>
      <c r="GK302" s="133"/>
      <c r="GL302" s="133"/>
      <c r="GM302" s="133"/>
      <c r="GN302" s="133"/>
      <c r="GO302" s="133"/>
      <c r="GP302" s="133"/>
      <c r="GQ302" s="133"/>
      <c r="GR302" s="133"/>
      <c r="GS302" s="133"/>
      <c r="GT302" s="133"/>
      <c r="GU302" s="133"/>
      <c r="GV302" s="133"/>
      <c r="GW302" s="133"/>
      <c r="GX302" s="133"/>
      <c r="GY302" s="133"/>
      <c r="GZ302" s="133"/>
      <c r="HA302" s="133"/>
      <c r="HB302" s="133"/>
      <c r="HC302" s="133"/>
      <c r="HD302" s="133"/>
      <c r="HE302" s="133"/>
      <c r="HF302" s="133"/>
      <c r="HG302" s="133"/>
      <c r="HH302" s="133"/>
      <c r="HI302" s="133"/>
      <c r="HJ302" s="133"/>
      <c r="HK302" s="133"/>
      <c r="HL302" s="133"/>
      <c r="HM302" s="133"/>
      <c r="HN302" s="133"/>
      <c r="HO302" s="133"/>
      <c r="HP302" s="133"/>
      <c r="HQ302" s="133"/>
      <c r="HR302" s="133"/>
      <c r="HS302" s="133"/>
      <c r="HT302" s="133"/>
      <c r="HU302" s="133"/>
      <c r="HV302" s="133"/>
      <c r="HW302" s="133"/>
      <c r="HX302" s="133"/>
      <c r="HY302" s="133"/>
      <c r="HZ302" s="133"/>
      <c r="IA302" s="133"/>
      <c r="IB302" s="133"/>
      <c r="IC302" s="133"/>
      <c r="ID302" s="133"/>
      <c r="IE302" s="133"/>
      <c r="IF302" s="133"/>
      <c r="IG302" s="133"/>
      <c r="IH302" s="133"/>
      <c r="II302" s="133"/>
      <c r="IJ302" s="133"/>
      <c r="IK302" s="133"/>
      <c r="IL302" s="133"/>
      <c r="IM302" s="133"/>
      <c r="IN302" s="133"/>
      <c r="IO302" s="133"/>
      <c r="IP302" s="133"/>
      <c r="IQ302" s="133"/>
      <c r="IR302" s="133"/>
      <c r="IS302" s="133"/>
      <c r="IT302" s="133"/>
      <c r="IU302" s="133"/>
      <c r="IV302" s="133"/>
    </row>
    <row r="303" spans="1:256" s="132" customFormat="1" ht="13.8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GE303" s="133"/>
      <c r="GF303" s="133"/>
      <c r="GG303" s="133"/>
      <c r="GH303" s="133"/>
      <c r="GI303" s="133"/>
      <c r="GJ303" s="133"/>
      <c r="GK303" s="133"/>
      <c r="GL303" s="133"/>
      <c r="GM303" s="133"/>
      <c r="GN303" s="133"/>
      <c r="GO303" s="133"/>
      <c r="GP303" s="133"/>
      <c r="GQ303" s="133"/>
      <c r="GR303" s="133"/>
      <c r="GS303" s="133"/>
      <c r="GT303" s="133"/>
      <c r="GU303" s="133"/>
      <c r="GV303" s="133"/>
      <c r="GW303" s="133"/>
      <c r="GX303" s="133"/>
      <c r="GY303" s="133"/>
      <c r="GZ303" s="133"/>
      <c r="HA303" s="133"/>
      <c r="HB303" s="133"/>
      <c r="HC303" s="133"/>
      <c r="HD303" s="133"/>
      <c r="HE303" s="133"/>
      <c r="HF303" s="133"/>
      <c r="HG303" s="133"/>
      <c r="HH303" s="133"/>
      <c r="HI303" s="133"/>
      <c r="HJ303" s="133"/>
      <c r="HK303" s="133"/>
      <c r="HL303" s="133"/>
      <c r="HM303" s="133"/>
      <c r="HN303" s="133"/>
      <c r="HO303" s="133"/>
      <c r="HP303" s="133"/>
      <c r="HQ303" s="133"/>
      <c r="HR303" s="133"/>
      <c r="HS303" s="133"/>
      <c r="HT303" s="133"/>
      <c r="HU303" s="133"/>
      <c r="HV303" s="133"/>
      <c r="HW303" s="133"/>
      <c r="HX303" s="133"/>
      <c r="HY303" s="133"/>
      <c r="HZ303" s="133"/>
      <c r="IA303" s="133"/>
      <c r="IB303" s="133"/>
      <c r="IC303" s="133"/>
      <c r="ID303" s="133"/>
      <c r="IE303" s="133"/>
      <c r="IF303" s="133"/>
      <c r="IG303" s="133"/>
      <c r="IH303" s="133"/>
      <c r="II303" s="133"/>
      <c r="IJ303" s="133"/>
      <c r="IK303" s="133"/>
      <c r="IL303" s="133"/>
      <c r="IM303" s="133"/>
      <c r="IN303" s="133"/>
      <c r="IO303" s="133"/>
      <c r="IP303" s="133"/>
      <c r="IQ303" s="133"/>
      <c r="IR303" s="133"/>
      <c r="IS303" s="133"/>
      <c r="IT303" s="133"/>
      <c r="IU303" s="133"/>
      <c r="IV303" s="133"/>
    </row>
    <row r="304" spans="1:256" s="132" customFormat="1" ht="13.8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GE304" s="133"/>
      <c r="GF304" s="133"/>
      <c r="GG304" s="133"/>
      <c r="GH304" s="133"/>
      <c r="GI304" s="133"/>
      <c r="GJ304" s="133"/>
      <c r="GK304" s="133"/>
      <c r="GL304" s="133"/>
      <c r="GM304" s="133"/>
      <c r="GN304" s="133"/>
      <c r="GO304" s="133"/>
      <c r="GP304" s="133"/>
      <c r="GQ304" s="133"/>
      <c r="GR304" s="133"/>
      <c r="GS304" s="133"/>
      <c r="GT304" s="133"/>
      <c r="GU304" s="133"/>
      <c r="GV304" s="133"/>
      <c r="GW304" s="133"/>
      <c r="GX304" s="133"/>
      <c r="GY304" s="133"/>
      <c r="GZ304" s="133"/>
      <c r="HA304" s="133"/>
      <c r="HB304" s="133"/>
      <c r="HC304" s="133"/>
      <c r="HD304" s="133"/>
      <c r="HE304" s="133"/>
      <c r="HF304" s="133"/>
      <c r="HG304" s="133"/>
      <c r="HH304" s="133"/>
      <c r="HI304" s="133"/>
      <c r="HJ304" s="133"/>
      <c r="HK304" s="133"/>
      <c r="HL304" s="133"/>
      <c r="HM304" s="133"/>
      <c r="HN304" s="133"/>
      <c r="HO304" s="133"/>
      <c r="HP304" s="133"/>
      <c r="HQ304" s="133"/>
      <c r="HR304" s="133"/>
      <c r="HS304" s="133"/>
      <c r="HT304" s="133"/>
      <c r="HU304" s="133"/>
      <c r="HV304" s="133"/>
      <c r="HW304" s="133"/>
      <c r="HX304" s="133"/>
      <c r="HY304" s="133"/>
      <c r="HZ304" s="133"/>
      <c r="IA304" s="133"/>
      <c r="IB304" s="133"/>
      <c r="IC304" s="133"/>
      <c r="ID304" s="133"/>
      <c r="IE304" s="133"/>
      <c r="IF304" s="133"/>
      <c r="IG304" s="133"/>
      <c r="IH304" s="133"/>
      <c r="II304" s="133"/>
      <c r="IJ304" s="133"/>
      <c r="IK304" s="133"/>
      <c r="IL304" s="133"/>
      <c r="IM304" s="133"/>
      <c r="IN304" s="133"/>
      <c r="IO304" s="133"/>
      <c r="IP304" s="133"/>
      <c r="IQ304" s="133"/>
      <c r="IR304" s="133"/>
      <c r="IS304" s="133"/>
      <c r="IT304" s="133"/>
      <c r="IU304" s="133"/>
      <c r="IV304" s="133"/>
    </row>
    <row r="305" spans="1:256" s="132" customFormat="1" ht="13.8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GE305" s="133"/>
      <c r="GF305" s="133"/>
      <c r="GG305" s="133"/>
      <c r="GH305" s="133"/>
      <c r="GI305" s="133"/>
      <c r="GJ305" s="133"/>
      <c r="GK305" s="133"/>
      <c r="GL305" s="133"/>
      <c r="GM305" s="133"/>
      <c r="GN305" s="133"/>
      <c r="GO305" s="133"/>
      <c r="GP305" s="133"/>
      <c r="GQ305" s="133"/>
      <c r="GR305" s="133"/>
      <c r="GS305" s="133"/>
      <c r="GT305" s="133"/>
      <c r="GU305" s="133"/>
      <c r="GV305" s="133"/>
      <c r="GW305" s="133"/>
      <c r="GX305" s="133"/>
      <c r="GY305" s="133"/>
      <c r="GZ305" s="133"/>
      <c r="HA305" s="133"/>
      <c r="HB305" s="133"/>
      <c r="HC305" s="133"/>
      <c r="HD305" s="133"/>
      <c r="HE305" s="133"/>
      <c r="HF305" s="133"/>
      <c r="HG305" s="133"/>
      <c r="HH305" s="133"/>
      <c r="HI305" s="133"/>
      <c r="HJ305" s="133"/>
      <c r="HK305" s="133"/>
      <c r="HL305" s="133"/>
      <c r="HM305" s="133"/>
      <c r="HN305" s="133"/>
      <c r="HO305" s="133"/>
      <c r="HP305" s="133"/>
      <c r="HQ305" s="133"/>
      <c r="HR305" s="133"/>
      <c r="HS305" s="133"/>
      <c r="HT305" s="133"/>
      <c r="HU305" s="133"/>
      <c r="HV305" s="133"/>
      <c r="HW305" s="133"/>
      <c r="HX305" s="133"/>
      <c r="HY305" s="133"/>
      <c r="HZ305" s="133"/>
      <c r="IA305" s="133"/>
      <c r="IB305" s="133"/>
      <c r="IC305" s="133"/>
      <c r="ID305" s="133"/>
      <c r="IE305" s="133"/>
      <c r="IF305" s="133"/>
      <c r="IG305" s="133"/>
      <c r="IH305" s="133"/>
      <c r="II305" s="133"/>
      <c r="IJ305" s="133"/>
      <c r="IK305" s="133"/>
      <c r="IL305" s="133"/>
      <c r="IM305" s="133"/>
      <c r="IN305" s="133"/>
      <c r="IO305" s="133"/>
      <c r="IP305" s="133"/>
      <c r="IQ305" s="133"/>
      <c r="IR305" s="133"/>
      <c r="IS305" s="133"/>
      <c r="IT305" s="133"/>
      <c r="IU305" s="133"/>
      <c r="IV305" s="133"/>
    </row>
    <row r="306" spans="1:256" s="132" customFormat="1" ht="13.8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GE306" s="133"/>
      <c r="GF306" s="133"/>
      <c r="GG306" s="133"/>
      <c r="GH306" s="133"/>
      <c r="GI306" s="133"/>
      <c r="GJ306" s="133"/>
      <c r="GK306" s="133"/>
      <c r="GL306" s="133"/>
      <c r="GM306" s="133"/>
      <c r="GN306" s="133"/>
      <c r="GO306" s="133"/>
      <c r="GP306" s="133"/>
      <c r="GQ306" s="133"/>
      <c r="GR306" s="133"/>
      <c r="GS306" s="133"/>
      <c r="GT306" s="133"/>
      <c r="GU306" s="133"/>
      <c r="GV306" s="133"/>
      <c r="GW306" s="133"/>
      <c r="GX306" s="133"/>
      <c r="GY306" s="133"/>
      <c r="GZ306" s="133"/>
      <c r="HA306" s="133"/>
      <c r="HB306" s="133"/>
      <c r="HC306" s="133"/>
      <c r="HD306" s="133"/>
      <c r="HE306" s="133"/>
      <c r="HF306" s="133"/>
      <c r="HG306" s="133"/>
      <c r="HH306" s="133"/>
      <c r="HI306" s="133"/>
      <c r="HJ306" s="133"/>
      <c r="HK306" s="133"/>
      <c r="HL306" s="133"/>
      <c r="HM306" s="133"/>
      <c r="HN306" s="133"/>
      <c r="HO306" s="133"/>
      <c r="HP306" s="133"/>
      <c r="HQ306" s="133"/>
      <c r="HR306" s="133"/>
      <c r="HS306" s="133"/>
      <c r="HT306" s="133"/>
      <c r="HU306" s="133"/>
      <c r="HV306" s="133"/>
      <c r="HW306" s="133"/>
      <c r="HX306" s="133"/>
      <c r="HY306" s="133"/>
      <c r="HZ306" s="133"/>
      <c r="IA306" s="133"/>
      <c r="IB306" s="133"/>
      <c r="IC306" s="133"/>
      <c r="ID306" s="133"/>
      <c r="IE306" s="133"/>
      <c r="IF306" s="133"/>
      <c r="IG306" s="133"/>
      <c r="IH306" s="133"/>
      <c r="II306" s="133"/>
      <c r="IJ306" s="133"/>
      <c r="IK306" s="133"/>
      <c r="IL306" s="133"/>
      <c r="IM306" s="133"/>
      <c r="IN306" s="133"/>
      <c r="IO306" s="133"/>
      <c r="IP306" s="133"/>
      <c r="IQ306" s="133"/>
      <c r="IR306" s="133"/>
      <c r="IS306" s="133"/>
      <c r="IT306" s="133"/>
      <c r="IU306" s="133"/>
      <c r="IV306" s="133"/>
    </row>
    <row r="307" spans="1:256" s="132" customFormat="1" ht="13.8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GE307" s="133"/>
      <c r="GF307" s="133"/>
      <c r="GG307" s="133"/>
      <c r="GH307" s="133"/>
      <c r="GI307" s="133"/>
      <c r="GJ307" s="133"/>
      <c r="GK307" s="133"/>
      <c r="GL307" s="133"/>
      <c r="GM307" s="133"/>
      <c r="GN307" s="133"/>
      <c r="GO307" s="133"/>
      <c r="GP307" s="133"/>
      <c r="GQ307" s="133"/>
      <c r="GR307" s="133"/>
      <c r="GS307" s="133"/>
      <c r="GT307" s="133"/>
      <c r="GU307" s="133"/>
      <c r="GV307" s="133"/>
      <c r="GW307" s="133"/>
      <c r="GX307" s="133"/>
      <c r="GY307" s="133"/>
      <c r="GZ307" s="133"/>
      <c r="HA307" s="133"/>
      <c r="HB307" s="133"/>
      <c r="HC307" s="133"/>
      <c r="HD307" s="133"/>
      <c r="HE307" s="133"/>
      <c r="HF307" s="133"/>
      <c r="HG307" s="133"/>
      <c r="HH307" s="133"/>
      <c r="HI307" s="133"/>
      <c r="HJ307" s="133"/>
      <c r="HK307" s="133"/>
      <c r="HL307" s="133"/>
      <c r="HM307" s="133"/>
      <c r="HN307" s="133"/>
      <c r="HO307" s="133"/>
      <c r="HP307" s="133"/>
      <c r="HQ307" s="133"/>
      <c r="HR307" s="133"/>
      <c r="HS307" s="133"/>
      <c r="HT307" s="133"/>
      <c r="HU307" s="133"/>
      <c r="HV307" s="133"/>
      <c r="HW307" s="133"/>
      <c r="HX307" s="133"/>
      <c r="HY307" s="133"/>
      <c r="HZ307" s="133"/>
      <c r="IA307" s="133"/>
      <c r="IB307" s="133"/>
      <c r="IC307" s="133"/>
      <c r="ID307" s="133"/>
      <c r="IE307" s="133"/>
      <c r="IF307" s="133"/>
      <c r="IG307" s="133"/>
      <c r="IH307" s="133"/>
      <c r="II307" s="133"/>
      <c r="IJ307" s="133"/>
      <c r="IK307" s="133"/>
      <c r="IL307" s="133"/>
      <c r="IM307" s="133"/>
      <c r="IN307" s="133"/>
      <c r="IO307" s="133"/>
      <c r="IP307" s="133"/>
      <c r="IQ307" s="133"/>
      <c r="IR307" s="133"/>
      <c r="IS307" s="133"/>
      <c r="IT307" s="133"/>
      <c r="IU307" s="133"/>
      <c r="IV307" s="133"/>
    </row>
    <row r="308" spans="1:256" s="132" customFormat="1" ht="13.8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GE308" s="133"/>
      <c r="GF308" s="133"/>
      <c r="GG308" s="133"/>
      <c r="GH308" s="133"/>
      <c r="GI308" s="133"/>
      <c r="GJ308" s="133"/>
      <c r="GK308" s="133"/>
      <c r="GL308" s="133"/>
      <c r="GM308" s="133"/>
      <c r="GN308" s="133"/>
      <c r="GO308" s="133"/>
      <c r="GP308" s="133"/>
      <c r="GQ308" s="133"/>
      <c r="GR308" s="133"/>
      <c r="GS308" s="133"/>
      <c r="GT308" s="133"/>
      <c r="GU308" s="133"/>
      <c r="GV308" s="133"/>
      <c r="GW308" s="133"/>
      <c r="GX308" s="133"/>
      <c r="GY308" s="133"/>
      <c r="GZ308" s="133"/>
      <c r="HA308" s="133"/>
      <c r="HB308" s="133"/>
      <c r="HC308" s="133"/>
      <c r="HD308" s="133"/>
      <c r="HE308" s="133"/>
      <c r="HF308" s="133"/>
      <c r="HG308" s="133"/>
      <c r="HH308" s="133"/>
      <c r="HI308" s="133"/>
      <c r="HJ308" s="133"/>
      <c r="HK308" s="133"/>
      <c r="HL308" s="133"/>
      <c r="HM308" s="133"/>
      <c r="HN308" s="133"/>
      <c r="HO308" s="133"/>
      <c r="HP308" s="133"/>
      <c r="HQ308" s="133"/>
      <c r="HR308" s="133"/>
      <c r="HS308" s="133"/>
      <c r="HT308" s="133"/>
      <c r="HU308" s="133"/>
      <c r="HV308" s="133"/>
      <c r="HW308" s="133"/>
      <c r="HX308" s="133"/>
      <c r="HY308" s="133"/>
      <c r="HZ308" s="133"/>
      <c r="IA308" s="133"/>
      <c r="IB308" s="133"/>
      <c r="IC308" s="133"/>
      <c r="ID308" s="133"/>
      <c r="IE308" s="133"/>
      <c r="IF308" s="133"/>
      <c r="IG308" s="133"/>
      <c r="IH308" s="133"/>
      <c r="II308" s="133"/>
      <c r="IJ308" s="133"/>
      <c r="IK308" s="133"/>
      <c r="IL308" s="133"/>
      <c r="IM308" s="133"/>
      <c r="IN308" s="133"/>
      <c r="IO308" s="133"/>
      <c r="IP308" s="133"/>
      <c r="IQ308" s="133"/>
      <c r="IR308" s="133"/>
      <c r="IS308" s="133"/>
      <c r="IT308" s="133"/>
      <c r="IU308" s="133"/>
      <c r="IV308" s="133"/>
    </row>
    <row r="309" spans="1:256" s="132" customFormat="1" ht="13.8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GE309" s="133"/>
      <c r="GF309" s="133"/>
      <c r="GG309" s="133"/>
      <c r="GH309" s="133"/>
      <c r="GI309" s="133"/>
      <c r="GJ309" s="133"/>
      <c r="GK309" s="133"/>
      <c r="GL309" s="133"/>
      <c r="GM309" s="133"/>
      <c r="GN309" s="133"/>
      <c r="GO309" s="133"/>
      <c r="GP309" s="133"/>
      <c r="GQ309" s="133"/>
      <c r="GR309" s="133"/>
      <c r="GS309" s="133"/>
      <c r="GT309" s="133"/>
      <c r="GU309" s="133"/>
      <c r="GV309" s="133"/>
      <c r="GW309" s="133"/>
      <c r="GX309" s="133"/>
      <c r="GY309" s="133"/>
      <c r="GZ309" s="133"/>
      <c r="HA309" s="133"/>
      <c r="HB309" s="133"/>
      <c r="HC309" s="133"/>
      <c r="HD309" s="133"/>
      <c r="HE309" s="133"/>
      <c r="HF309" s="133"/>
      <c r="HG309" s="133"/>
      <c r="HH309" s="133"/>
      <c r="HI309" s="133"/>
      <c r="HJ309" s="133"/>
      <c r="HK309" s="133"/>
      <c r="HL309" s="133"/>
      <c r="HM309" s="133"/>
      <c r="HN309" s="133"/>
      <c r="HO309" s="133"/>
      <c r="HP309" s="133"/>
      <c r="HQ309" s="133"/>
      <c r="HR309" s="133"/>
      <c r="HS309" s="133"/>
      <c r="HT309" s="133"/>
      <c r="HU309" s="133"/>
      <c r="HV309" s="133"/>
      <c r="HW309" s="133"/>
      <c r="HX309" s="133"/>
      <c r="HY309" s="133"/>
      <c r="HZ309" s="133"/>
      <c r="IA309" s="133"/>
      <c r="IB309" s="133"/>
      <c r="IC309" s="133"/>
      <c r="ID309" s="133"/>
      <c r="IE309" s="133"/>
      <c r="IF309" s="133"/>
      <c r="IG309" s="133"/>
      <c r="IH309" s="133"/>
      <c r="II309" s="133"/>
      <c r="IJ309" s="133"/>
      <c r="IK309" s="133"/>
      <c r="IL309" s="133"/>
      <c r="IM309" s="133"/>
      <c r="IN309" s="133"/>
      <c r="IO309" s="133"/>
      <c r="IP309" s="133"/>
      <c r="IQ309" s="133"/>
      <c r="IR309" s="133"/>
      <c r="IS309" s="133"/>
      <c r="IT309" s="133"/>
      <c r="IU309" s="133"/>
      <c r="IV309" s="133"/>
    </row>
    <row r="310" spans="1:256" s="132" customFormat="1" ht="13.8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GE310" s="133"/>
      <c r="GF310" s="133"/>
      <c r="GG310" s="133"/>
      <c r="GH310" s="133"/>
      <c r="GI310" s="133"/>
      <c r="GJ310" s="133"/>
      <c r="GK310" s="133"/>
      <c r="GL310" s="133"/>
      <c r="GM310" s="133"/>
      <c r="GN310" s="133"/>
      <c r="GO310" s="133"/>
      <c r="GP310" s="133"/>
      <c r="GQ310" s="133"/>
      <c r="GR310" s="133"/>
      <c r="GS310" s="133"/>
      <c r="GT310" s="133"/>
      <c r="GU310" s="133"/>
      <c r="GV310" s="133"/>
      <c r="GW310" s="133"/>
      <c r="GX310" s="133"/>
      <c r="GY310" s="133"/>
      <c r="GZ310" s="133"/>
      <c r="HA310" s="133"/>
      <c r="HB310" s="133"/>
      <c r="HC310" s="133"/>
      <c r="HD310" s="133"/>
      <c r="HE310" s="133"/>
      <c r="HF310" s="133"/>
      <c r="HG310" s="133"/>
      <c r="HH310" s="133"/>
      <c r="HI310" s="133"/>
      <c r="HJ310" s="133"/>
      <c r="HK310" s="133"/>
      <c r="HL310" s="133"/>
      <c r="HM310" s="133"/>
      <c r="HN310" s="133"/>
      <c r="HO310" s="133"/>
      <c r="HP310" s="133"/>
      <c r="HQ310" s="133"/>
      <c r="HR310" s="133"/>
      <c r="HS310" s="133"/>
      <c r="HT310" s="133"/>
      <c r="HU310" s="133"/>
      <c r="HV310" s="133"/>
      <c r="HW310" s="133"/>
      <c r="HX310" s="133"/>
      <c r="HY310" s="133"/>
      <c r="HZ310" s="133"/>
      <c r="IA310" s="133"/>
      <c r="IB310" s="133"/>
      <c r="IC310" s="133"/>
      <c r="ID310" s="133"/>
      <c r="IE310" s="133"/>
      <c r="IF310" s="133"/>
      <c r="IG310" s="133"/>
      <c r="IH310" s="133"/>
      <c r="II310" s="133"/>
      <c r="IJ310" s="133"/>
      <c r="IK310" s="133"/>
      <c r="IL310" s="133"/>
      <c r="IM310" s="133"/>
      <c r="IN310" s="133"/>
      <c r="IO310" s="133"/>
      <c r="IP310" s="133"/>
      <c r="IQ310" s="133"/>
      <c r="IR310" s="133"/>
      <c r="IS310" s="133"/>
      <c r="IT310" s="133"/>
      <c r="IU310" s="133"/>
      <c r="IV310" s="133"/>
    </row>
    <row r="311" spans="1:256" s="132" customFormat="1" ht="13.8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GE311" s="133"/>
      <c r="GF311" s="133"/>
      <c r="GG311" s="133"/>
      <c r="GH311" s="133"/>
      <c r="GI311" s="133"/>
      <c r="GJ311" s="133"/>
      <c r="GK311" s="133"/>
      <c r="GL311" s="133"/>
      <c r="GM311" s="133"/>
      <c r="GN311" s="133"/>
      <c r="GO311" s="133"/>
      <c r="GP311" s="133"/>
      <c r="GQ311" s="133"/>
      <c r="GR311" s="133"/>
      <c r="GS311" s="133"/>
      <c r="GT311" s="133"/>
      <c r="GU311" s="133"/>
      <c r="GV311" s="133"/>
      <c r="GW311" s="133"/>
      <c r="GX311" s="133"/>
      <c r="GY311" s="133"/>
      <c r="GZ311" s="133"/>
      <c r="HA311" s="133"/>
      <c r="HB311" s="133"/>
      <c r="HC311" s="133"/>
      <c r="HD311" s="133"/>
      <c r="HE311" s="133"/>
      <c r="HF311" s="133"/>
      <c r="HG311" s="133"/>
      <c r="HH311" s="133"/>
      <c r="HI311" s="133"/>
      <c r="HJ311" s="133"/>
      <c r="HK311" s="133"/>
      <c r="HL311" s="133"/>
      <c r="HM311" s="133"/>
      <c r="HN311" s="133"/>
      <c r="HO311" s="133"/>
      <c r="HP311" s="133"/>
      <c r="HQ311" s="133"/>
      <c r="HR311" s="133"/>
      <c r="HS311" s="133"/>
      <c r="HT311" s="133"/>
      <c r="HU311" s="133"/>
      <c r="HV311" s="133"/>
      <c r="HW311" s="133"/>
      <c r="HX311" s="133"/>
      <c r="HY311" s="133"/>
      <c r="HZ311" s="133"/>
      <c r="IA311" s="133"/>
      <c r="IB311" s="133"/>
      <c r="IC311" s="133"/>
      <c r="ID311" s="133"/>
      <c r="IE311" s="133"/>
      <c r="IF311" s="133"/>
      <c r="IG311" s="133"/>
      <c r="IH311" s="133"/>
      <c r="II311" s="133"/>
      <c r="IJ311" s="133"/>
      <c r="IK311" s="133"/>
      <c r="IL311" s="133"/>
      <c r="IM311" s="133"/>
      <c r="IN311" s="133"/>
      <c r="IO311" s="133"/>
      <c r="IP311" s="133"/>
      <c r="IQ311" s="133"/>
      <c r="IR311" s="133"/>
      <c r="IS311" s="133"/>
      <c r="IT311" s="133"/>
      <c r="IU311" s="133"/>
      <c r="IV311" s="133"/>
    </row>
    <row r="312" spans="1:256" s="132" customFormat="1" ht="13.8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GE312" s="133"/>
      <c r="GF312" s="133"/>
      <c r="GG312" s="133"/>
      <c r="GH312" s="133"/>
      <c r="GI312" s="133"/>
      <c r="GJ312" s="133"/>
      <c r="GK312" s="133"/>
      <c r="GL312" s="133"/>
      <c r="GM312" s="133"/>
      <c r="GN312" s="133"/>
      <c r="GO312" s="133"/>
      <c r="GP312" s="133"/>
      <c r="GQ312" s="133"/>
      <c r="GR312" s="133"/>
      <c r="GS312" s="133"/>
      <c r="GT312" s="133"/>
      <c r="GU312" s="133"/>
      <c r="GV312" s="133"/>
      <c r="GW312" s="133"/>
      <c r="GX312" s="133"/>
      <c r="GY312" s="133"/>
      <c r="GZ312" s="133"/>
      <c r="HA312" s="133"/>
      <c r="HB312" s="133"/>
      <c r="HC312" s="133"/>
      <c r="HD312" s="133"/>
      <c r="HE312" s="133"/>
      <c r="HF312" s="133"/>
      <c r="HG312" s="133"/>
      <c r="HH312" s="133"/>
      <c r="HI312" s="133"/>
      <c r="HJ312" s="133"/>
      <c r="HK312" s="133"/>
      <c r="HL312" s="133"/>
      <c r="HM312" s="133"/>
      <c r="HN312" s="133"/>
      <c r="HO312" s="133"/>
      <c r="HP312" s="133"/>
      <c r="HQ312" s="133"/>
      <c r="HR312" s="133"/>
      <c r="HS312" s="133"/>
      <c r="HT312" s="133"/>
      <c r="HU312" s="133"/>
      <c r="HV312" s="133"/>
      <c r="HW312" s="133"/>
      <c r="HX312" s="133"/>
      <c r="HY312" s="133"/>
      <c r="HZ312" s="133"/>
      <c r="IA312" s="133"/>
      <c r="IB312" s="133"/>
      <c r="IC312" s="133"/>
      <c r="ID312" s="133"/>
      <c r="IE312" s="133"/>
      <c r="IF312" s="133"/>
      <c r="IG312" s="133"/>
      <c r="IH312" s="133"/>
      <c r="II312" s="133"/>
      <c r="IJ312" s="133"/>
      <c r="IK312" s="133"/>
      <c r="IL312" s="133"/>
      <c r="IM312" s="133"/>
      <c r="IN312" s="133"/>
      <c r="IO312" s="133"/>
      <c r="IP312" s="133"/>
      <c r="IQ312" s="133"/>
      <c r="IR312" s="133"/>
      <c r="IS312" s="133"/>
      <c r="IT312" s="133"/>
      <c r="IU312" s="133"/>
      <c r="IV312" s="133"/>
    </row>
    <row r="313" spans="1:256" s="132" customFormat="1" ht="13.8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GE313" s="133"/>
      <c r="GF313" s="133"/>
      <c r="GG313" s="133"/>
      <c r="GH313" s="133"/>
      <c r="GI313" s="133"/>
      <c r="GJ313" s="133"/>
      <c r="GK313" s="133"/>
      <c r="GL313" s="133"/>
      <c r="GM313" s="133"/>
      <c r="GN313" s="133"/>
      <c r="GO313" s="133"/>
      <c r="GP313" s="133"/>
      <c r="GQ313" s="133"/>
      <c r="GR313" s="133"/>
      <c r="GS313" s="133"/>
      <c r="GT313" s="133"/>
      <c r="GU313" s="133"/>
      <c r="GV313" s="133"/>
      <c r="GW313" s="133"/>
      <c r="GX313" s="133"/>
      <c r="GY313" s="133"/>
      <c r="GZ313" s="133"/>
      <c r="HA313" s="133"/>
      <c r="HB313" s="133"/>
      <c r="HC313" s="133"/>
      <c r="HD313" s="133"/>
      <c r="HE313" s="133"/>
      <c r="HF313" s="133"/>
      <c r="HG313" s="133"/>
      <c r="HH313" s="133"/>
      <c r="HI313" s="133"/>
      <c r="HJ313" s="133"/>
      <c r="HK313" s="133"/>
      <c r="HL313" s="133"/>
      <c r="HM313" s="133"/>
      <c r="HN313" s="133"/>
      <c r="HO313" s="133"/>
      <c r="HP313" s="133"/>
      <c r="HQ313" s="133"/>
      <c r="HR313" s="133"/>
      <c r="HS313" s="133"/>
      <c r="HT313" s="133"/>
      <c r="HU313" s="133"/>
      <c r="HV313" s="133"/>
      <c r="HW313" s="133"/>
      <c r="HX313" s="133"/>
      <c r="HY313" s="133"/>
      <c r="HZ313" s="133"/>
      <c r="IA313" s="133"/>
      <c r="IB313" s="133"/>
      <c r="IC313" s="133"/>
      <c r="ID313" s="133"/>
      <c r="IE313" s="133"/>
      <c r="IF313" s="133"/>
      <c r="IG313" s="133"/>
      <c r="IH313" s="133"/>
      <c r="II313" s="133"/>
      <c r="IJ313" s="133"/>
      <c r="IK313" s="133"/>
      <c r="IL313" s="133"/>
      <c r="IM313" s="133"/>
      <c r="IN313" s="133"/>
      <c r="IO313" s="133"/>
      <c r="IP313" s="133"/>
      <c r="IQ313" s="133"/>
      <c r="IR313" s="133"/>
      <c r="IS313" s="133"/>
      <c r="IT313" s="133"/>
      <c r="IU313" s="133"/>
      <c r="IV313" s="133"/>
    </row>
    <row r="314" spans="1:256" s="132" customFormat="1" ht="13.8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GE314" s="133"/>
      <c r="GF314" s="133"/>
      <c r="GG314" s="133"/>
      <c r="GH314" s="133"/>
      <c r="GI314" s="133"/>
      <c r="GJ314" s="133"/>
      <c r="GK314" s="133"/>
      <c r="GL314" s="133"/>
      <c r="GM314" s="133"/>
      <c r="GN314" s="133"/>
      <c r="GO314" s="133"/>
      <c r="GP314" s="133"/>
      <c r="GQ314" s="133"/>
      <c r="GR314" s="133"/>
      <c r="GS314" s="133"/>
      <c r="GT314" s="133"/>
      <c r="GU314" s="133"/>
      <c r="GV314" s="133"/>
      <c r="GW314" s="133"/>
      <c r="GX314" s="133"/>
      <c r="GY314" s="133"/>
      <c r="GZ314" s="133"/>
      <c r="HA314" s="133"/>
      <c r="HB314" s="133"/>
      <c r="HC314" s="133"/>
      <c r="HD314" s="133"/>
      <c r="HE314" s="133"/>
      <c r="HF314" s="133"/>
      <c r="HG314" s="133"/>
      <c r="HH314" s="133"/>
      <c r="HI314" s="133"/>
      <c r="HJ314" s="133"/>
      <c r="HK314" s="133"/>
      <c r="HL314" s="133"/>
      <c r="HM314" s="133"/>
      <c r="HN314" s="133"/>
      <c r="HO314" s="133"/>
      <c r="HP314" s="133"/>
      <c r="HQ314" s="133"/>
      <c r="HR314" s="133"/>
      <c r="HS314" s="133"/>
      <c r="HT314" s="133"/>
      <c r="HU314" s="133"/>
      <c r="HV314" s="133"/>
      <c r="HW314" s="133"/>
      <c r="HX314" s="133"/>
      <c r="HY314" s="133"/>
      <c r="HZ314" s="133"/>
      <c r="IA314" s="133"/>
      <c r="IB314" s="133"/>
      <c r="IC314" s="133"/>
      <c r="ID314" s="133"/>
      <c r="IE314" s="133"/>
      <c r="IF314" s="133"/>
      <c r="IG314" s="133"/>
      <c r="IH314" s="133"/>
      <c r="II314" s="133"/>
      <c r="IJ314" s="133"/>
      <c r="IK314" s="133"/>
      <c r="IL314" s="133"/>
      <c r="IM314" s="133"/>
      <c r="IN314" s="133"/>
      <c r="IO314" s="133"/>
      <c r="IP314" s="133"/>
      <c r="IQ314" s="133"/>
      <c r="IR314" s="133"/>
      <c r="IS314" s="133"/>
      <c r="IT314" s="133"/>
      <c r="IU314" s="133"/>
      <c r="IV314" s="133"/>
    </row>
    <row r="315" spans="1:256" s="132" customFormat="1" ht="13.8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GE315" s="133"/>
      <c r="GF315" s="133"/>
      <c r="GG315" s="133"/>
      <c r="GH315" s="133"/>
      <c r="GI315" s="133"/>
      <c r="GJ315" s="133"/>
      <c r="GK315" s="133"/>
      <c r="GL315" s="133"/>
      <c r="GM315" s="133"/>
      <c r="GN315" s="133"/>
      <c r="GO315" s="133"/>
      <c r="GP315" s="133"/>
      <c r="GQ315" s="133"/>
      <c r="GR315" s="133"/>
      <c r="GS315" s="133"/>
      <c r="GT315" s="133"/>
      <c r="GU315" s="133"/>
      <c r="GV315" s="133"/>
      <c r="GW315" s="133"/>
      <c r="GX315" s="133"/>
      <c r="GY315" s="133"/>
      <c r="GZ315" s="133"/>
      <c r="HA315" s="133"/>
      <c r="HB315" s="133"/>
      <c r="HC315" s="133"/>
      <c r="HD315" s="133"/>
      <c r="HE315" s="133"/>
      <c r="HF315" s="133"/>
      <c r="HG315" s="133"/>
      <c r="HH315" s="133"/>
      <c r="HI315" s="133"/>
      <c r="HJ315" s="133"/>
      <c r="HK315" s="133"/>
      <c r="HL315" s="133"/>
      <c r="HM315" s="133"/>
      <c r="HN315" s="133"/>
      <c r="HO315" s="133"/>
      <c r="HP315" s="133"/>
      <c r="HQ315" s="133"/>
      <c r="HR315" s="133"/>
      <c r="HS315" s="133"/>
      <c r="HT315" s="133"/>
      <c r="HU315" s="133"/>
      <c r="HV315" s="133"/>
      <c r="HW315" s="133"/>
      <c r="HX315" s="133"/>
      <c r="HY315" s="133"/>
      <c r="HZ315" s="133"/>
      <c r="IA315" s="133"/>
      <c r="IB315" s="133"/>
      <c r="IC315" s="133"/>
      <c r="ID315" s="133"/>
      <c r="IE315" s="133"/>
      <c r="IF315" s="133"/>
      <c r="IG315" s="133"/>
      <c r="IH315" s="133"/>
      <c r="II315" s="133"/>
      <c r="IJ315" s="133"/>
      <c r="IK315" s="133"/>
      <c r="IL315" s="133"/>
      <c r="IM315" s="133"/>
      <c r="IN315" s="133"/>
      <c r="IO315" s="133"/>
      <c r="IP315" s="133"/>
      <c r="IQ315" s="133"/>
      <c r="IR315" s="133"/>
      <c r="IS315" s="133"/>
      <c r="IT315" s="133"/>
      <c r="IU315" s="133"/>
      <c r="IV315" s="133"/>
    </row>
    <row r="316" spans="1:256" s="132" customFormat="1" ht="13.8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GE316" s="133"/>
      <c r="GF316" s="133"/>
      <c r="GG316" s="133"/>
      <c r="GH316" s="133"/>
      <c r="GI316" s="133"/>
      <c r="GJ316" s="133"/>
      <c r="GK316" s="133"/>
      <c r="GL316" s="133"/>
      <c r="GM316" s="133"/>
      <c r="GN316" s="133"/>
      <c r="GO316" s="133"/>
      <c r="GP316" s="133"/>
      <c r="GQ316" s="133"/>
      <c r="GR316" s="133"/>
      <c r="GS316" s="133"/>
      <c r="GT316" s="133"/>
      <c r="GU316" s="133"/>
      <c r="GV316" s="133"/>
      <c r="GW316" s="133"/>
      <c r="GX316" s="133"/>
      <c r="GY316" s="133"/>
      <c r="GZ316" s="133"/>
      <c r="HA316" s="133"/>
      <c r="HB316" s="133"/>
      <c r="HC316" s="133"/>
      <c r="HD316" s="133"/>
      <c r="HE316" s="133"/>
      <c r="HF316" s="133"/>
      <c r="HG316" s="133"/>
      <c r="HH316" s="133"/>
      <c r="HI316" s="133"/>
      <c r="HJ316" s="133"/>
      <c r="HK316" s="133"/>
      <c r="HL316" s="133"/>
      <c r="HM316" s="133"/>
      <c r="HN316" s="133"/>
      <c r="HO316" s="133"/>
      <c r="HP316" s="133"/>
      <c r="HQ316" s="133"/>
      <c r="HR316" s="133"/>
      <c r="HS316" s="133"/>
      <c r="HT316" s="133"/>
      <c r="HU316" s="133"/>
      <c r="HV316" s="133"/>
      <c r="HW316" s="133"/>
      <c r="HX316" s="133"/>
      <c r="HY316" s="133"/>
      <c r="HZ316" s="133"/>
      <c r="IA316" s="133"/>
      <c r="IB316" s="133"/>
      <c r="IC316" s="133"/>
      <c r="ID316" s="133"/>
      <c r="IE316" s="133"/>
      <c r="IF316" s="133"/>
      <c r="IG316" s="133"/>
      <c r="IH316" s="133"/>
      <c r="II316" s="133"/>
      <c r="IJ316" s="133"/>
      <c r="IK316" s="133"/>
      <c r="IL316" s="133"/>
      <c r="IM316" s="133"/>
      <c r="IN316" s="133"/>
      <c r="IO316" s="133"/>
      <c r="IP316" s="133"/>
      <c r="IQ316" s="133"/>
      <c r="IR316" s="133"/>
      <c r="IS316" s="133"/>
      <c r="IT316" s="133"/>
      <c r="IU316" s="133"/>
      <c r="IV316" s="133"/>
    </row>
    <row r="317" spans="1:256" s="132" customFormat="1" ht="13.8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GE317" s="133"/>
      <c r="GF317" s="133"/>
      <c r="GG317" s="133"/>
      <c r="GH317" s="133"/>
      <c r="GI317" s="133"/>
      <c r="GJ317" s="133"/>
      <c r="GK317" s="133"/>
      <c r="GL317" s="133"/>
      <c r="GM317" s="133"/>
      <c r="GN317" s="133"/>
      <c r="GO317" s="133"/>
      <c r="GP317" s="133"/>
      <c r="GQ317" s="133"/>
      <c r="GR317" s="133"/>
      <c r="GS317" s="133"/>
      <c r="GT317" s="133"/>
      <c r="GU317" s="133"/>
      <c r="GV317" s="133"/>
      <c r="GW317" s="133"/>
      <c r="GX317" s="133"/>
      <c r="GY317" s="133"/>
      <c r="GZ317" s="133"/>
      <c r="HA317" s="133"/>
      <c r="HB317" s="133"/>
      <c r="HC317" s="133"/>
      <c r="HD317" s="133"/>
      <c r="HE317" s="133"/>
      <c r="HF317" s="133"/>
      <c r="HG317" s="133"/>
      <c r="HH317" s="133"/>
      <c r="HI317" s="133"/>
      <c r="HJ317" s="133"/>
      <c r="HK317" s="133"/>
      <c r="HL317" s="133"/>
      <c r="HM317" s="133"/>
      <c r="HN317" s="133"/>
      <c r="HO317" s="133"/>
      <c r="HP317" s="133"/>
      <c r="HQ317" s="133"/>
      <c r="HR317" s="133"/>
      <c r="HS317" s="133"/>
      <c r="HT317" s="133"/>
      <c r="HU317" s="133"/>
      <c r="HV317" s="133"/>
      <c r="HW317" s="133"/>
      <c r="HX317" s="133"/>
      <c r="HY317" s="133"/>
      <c r="HZ317" s="133"/>
      <c r="IA317" s="133"/>
      <c r="IB317" s="133"/>
      <c r="IC317" s="133"/>
      <c r="ID317" s="133"/>
      <c r="IE317" s="133"/>
      <c r="IF317" s="133"/>
      <c r="IG317" s="133"/>
      <c r="IH317" s="133"/>
      <c r="II317" s="133"/>
      <c r="IJ317" s="133"/>
      <c r="IK317" s="133"/>
      <c r="IL317" s="133"/>
      <c r="IM317" s="133"/>
      <c r="IN317" s="133"/>
      <c r="IO317" s="133"/>
      <c r="IP317" s="133"/>
      <c r="IQ317" s="133"/>
      <c r="IR317" s="133"/>
      <c r="IS317" s="133"/>
      <c r="IT317" s="133"/>
      <c r="IU317" s="133"/>
      <c r="IV317" s="133"/>
    </row>
    <row r="318" spans="1:256" s="132" customFormat="1" ht="13.8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GE318" s="133"/>
      <c r="GF318" s="133"/>
      <c r="GG318" s="133"/>
      <c r="GH318" s="133"/>
      <c r="GI318" s="133"/>
      <c r="GJ318" s="133"/>
      <c r="GK318" s="133"/>
      <c r="GL318" s="133"/>
      <c r="GM318" s="133"/>
      <c r="GN318" s="133"/>
      <c r="GO318" s="133"/>
      <c r="GP318" s="133"/>
      <c r="GQ318" s="133"/>
      <c r="GR318" s="133"/>
      <c r="GS318" s="133"/>
      <c r="GT318" s="133"/>
      <c r="GU318" s="133"/>
      <c r="GV318" s="133"/>
      <c r="GW318" s="133"/>
      <c r="GX318" s="133"/>
      <c r="GY318" s="133"/>
      <c r="GZ318" s="133"/>
      <c r="HA318" s="133"/>
      <c r="HB318" s="133"/>
      <c r="HC318" s="133"/>
      <c r="HD318" s="133"/>
      <c r="HE318" s="133"/>
      <c r="HF318" s="133"/>
      <c r="HG318" s="133"/>
      <c r="HH318" s="133"/>
      <c r="HI318" s="133"/>
      <c r="HJ318" s="133"/>
      <c r="HK318" s="133"/>
      <c r="HL318" s="133"/>
      <c r="HM318" s="133"/>
      <c r="HN318" s="133"/>
      <c r="HO318" s="133"/>
      <c r="HP318" s="133"/>
      <c r="HQ318" s="133"/>
      <c r="HR318" s="133"/>
      <c r="HS318" s="133"/>
      <c r="HT318" s="133"/>
      <c r="HU318" s="133"/>
      <c r="HV318" s="133"/>
      <c r="HW318" s="133"/>
      <c r="HX318" s="133"/>
      <c r="HY318" s="133"/>
      <c r="HZ318" s="133"/>
      <c r="IA318" s="133"/>
      <c r="IB318" s="133"/>
      <c r="IC318" s="133"/>
      <c r="ID318" s="133"/>
      <c r="IE318" s="133"/>
      <c r="IF318" s="133"/>
      <c r="IG318" s="133"/>
      <c r="IH318" s="133"/>
      <c r="II318" s="133"/>
      <c r="IJ318" s="133"/>
      <c r="IK318" s="133"/>
      <c r="IL318" s="133"/>
      <c r="IM318" s="133"/>
      <c r="IN318" s="133"/>
      <c r="IO318" s="133"/>
      <c r="IP318" s="133"/>
      <c r="IQ318" s="133"/>
      <c r="IR318" s="133"/>
      <c r="IS318" s="133"/>
      <c r="IT318" s="133"/>
      <c r="IU318" s="133"/>
      <c r="IV318" s="133"/>
    </row>
    <row r="319" spans="1:256" s="132" customFormat="1" ht="13.8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GE319" s="133"/>
      <c r="GF319" s="133"/>
      <c r="GG319" s="133"/>
      <c r="GH319" s="133"/>
      <c r="GI319" s="133"/>
      <c r="GJ319" s="133"/>
      <c r="GK319" s="133"/>
      <c r="GL319" s="133"/>
      <c r="GM319" s="133"/>
      <c r="GN319" s="133"/>
      <c r="GO319" s="133"/>
      <c r="GP319" s="133"/>
      <c r="GQ319" s="133"/>
      <c r="GR319" s="133"/>
      <c r="GS319" s="133"/>
      <c r="GT319" s="133"/>
      <c r="GU319" s="133"/>
      <c r="GV319" s="133"/>
      <c r="GW319" s="133"/>
      <c r="GX319" s="133"/>
      <c r="GY319" s="133"/>
      <c r="GZ319" s="133"/>
      <c r="HA319" s="133"/>
      <c r="HB319" s="133"/>
      <c r="HC319" s="133"/>
      <c r="HD319" s="133"/>
      <c r="HE319" s="133"/>
      <c r="HF319" s="133"/>
      <c r="HG319" s="133"/>
      <c r="HH319" s="133"/>
      <c r="HI319" s="133"/>
      <c r="HJ319" s="133"/>
      <c r="HK319" s="133"/>
      <c r="HL319" s="133"/>
      <c r="HM319" s="133"/>
      <c r="HN319" s="133"/>
      <c r="HO319" s="133"/>
      <c r="HP319" s="133"/>
      <c r="HQ319" s="133"/>
      <c r="HR319" s="133"/>
      <c r="HS319" s="133"/>
      <c r="HT319" s="133"/>
      <c r="HU319" s="133"/>
      <c r="HV319" s="133"/>
      <c r="HW319" s="133"/>
      <c r="HX319" s="133"/>
      <c r="HY319" s="133"/>
      <c r="HZ319" s="133"/>
      <c r="IA319" s="133"/>
      <c r="IB319" s="133"/>
      <c r="IC319" s="133"/>
      <c r="ID319" s="133"/>
      <c r="IE319" s="133"/>
      <c r="IF319" s="133"/>
      <c r="IG319" s="133"/>
      <c r="IH319" s="133"/>
      <c r="II319" s="133"/>
      <c r="IJ319" s="133"/>
      <c r="IK319" s="133"/>
      <c r="IL319" s="133"/>
      <c r="IM319" s="133"/>
      <c r="IN319" s="133"/>
      <c r="IO319" s="133"/>
      <c r="IP319" s="133"/>
      <c r="IQ319" s="133"/>
      <c r="IR319" s="133"/>
      <c r="IS319" s="133"/>
      <c r="IT319" s="133"/>
      <c r="IU319" s="133"/>
      <c r="IV319" s="133"/>
    </row>
    <row r="320" spans="1:256" s="132" customFormat="1" ht="13.8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GE320" s="133"/>
      <c r="GF320" s="133"/>
      <c r="GG320" s="133"/>
      <c r="GH320" s="133"/>
      <c r="GI320" s="133"/>
      <c r="GJ320" s="133"/>
      <c r="GK320" s="133"/>
      <c r="GL320" s="133"/>
      <c r="GM320" s="133"/>
      <c r="GN320" s="133"/>
      <c r="GO320" s="133"/>
      <c r="GP320" s="133"/>
      <c r="GQ320" s="133"/>
      <c r="GR320" s="133"/>
      <c r="GS320" s="133"/>
      <c r="GT320" s="133"/>
      <c r="GU320" s="133"/>
      <c r="GV320" s="133"/>
      <c r="GW320" s="133"/>
      <c r="GX320" s="133"/>
      <c r="GY320" s="133"/>
      <c r="GZ320" s="133"/>
      <c r="HA320" s="133"/>
      <c r="HB320" s="133"/>
      <c r="HC320" s="133"/>
      <c r="HD320" s="133"/>
      <c r="HE320" s="133"/>
      <c r="HF320" s="133"/>
      <c r="HG320" s="133"/>
      <c r="HH320" s="133"/>
      <c r="HI320" s="133"/>
      <c r="HJ320" s="133"/>
      <c r="HK320" s="133"/>
      <c r="HL320" s="133"/>
      <c r="HM320" s="133"/>
      <c r="HN320" s="133"/>
      <c r="HO320" s="133"/>
      <c r="HP320" s="133"/>
      <c r="HQ320" s="133"/>
      <c r="HR320" s="133"/>
      <c r="HS320" s="133"/>
      <c r="HT320" s="133"/>
      <c r="HU320" s="133"/>
      <c r="HV320" s="133"/>
      <c r="HW320" s="133"/>
      <c r="HX320" s="133"/>
      <c r="HY320" s="133"/>
      <c r="HZ320" s="133"/>
      <c r="IA320" s="133"/>
      <c r="IB320" s="133"/>
      <c r="IC320" s="133"/>
      <c r="ID320" s="133"/>
      <c r="IE320" s="133"/>
      <c r="IF320" s="133"/>
      <c r="IG320" s="133"/>
      <c r="IH320" s="133"/>
      <c r="II320" s="133"/>
      <c r="IJ320" s="133"/>
      <c r="IK320" s="133"/>
      <c r="IL320" s="133"/>
      <c r="IM320" s="133"/>
      <c r="IN320" s="133"/>
      <c r="IO320" s="133"/>
      <c r="IP320" s="133"/>
      <c r="IQ320" s="133"/>
      <c r="IR320" s="133"/>
      <c r="IS320" s="133"/>
      <c r="IT320" s="133"/>
      <c r="IU320" s="133"/>
      <c r="IV320" s="133"/>
    </row>
    <row r="321" spans="1:256" s="132" customFormat="1" ht="13.8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GE321" s="133"/>
      <c r="GF321" s="133"/>
      <c r="GG321" s="133"/>
      <c r="GH321" s="133"/>
      <c r="GI321" s="133"/>
      <c r="GJ321" s="133"/>
      <c r="GK321" s="133"/>
      <c r="GL321" s="133"/>
      <c r="GM321" s="133"/>
      <c r="GN321" s="133"/>
      <c r="GO321" s="133"/>
      <c r="GP321" s="133"/>
      <c r="GQ321" s="133"/>
      <c r="GR321" s="133"/>
      <c r="GS321" s="133"/>
      <c r="GT321" s="133"/>
      <c r="GU321" s="133"/>
      <c r="GV321" s="133"/>
      <c r="GW321" s="133"/>
      <c r="GX321" s="133"/>
      <c r="GY321" s="133"/>
      <c r="GZ321" s="133"/>
      <c r="HA321" s="133"/>
      <c r="HB321" s="133"/>
      <c r="HC321" s="133"/>
      <c r="HD321" s="133"/>
      <c r="HE321" s="133"/>
      <c r="HF321" s="133"/>
      <c r="HG321" s="133"/>
      <c r="HH321" s="133"/>
      <c r="HI321" s="133"/>
      <c r="HJ321" s="133"/>
      <c r="HK321" s="133"/>
      <c r="HL321" s="133"/>
      <c r="HM321" s="133"/>
      <c r="HN321" s="133"/>
      <c r="HO321" s="133"/>
      <c r="HP321" s="133"/>
      <c r="HQ321" s="133"/>
      <c r="HR321" s="133"/>
      <c r="HS321" s="133"/>
      <c r="HT321" s="133"/>
      <c r="HU321" s="133"/>
      <c r="HV321" s="133"/>
      <c r="HW321" s="133"/>
      <c r="HX321" s="133"/>
      <c r="HY321" s="133"/>
      <c r="HZ321" s="133"/>
      <c r="IA321" s="133"/>
      <c r="IB321" s="133"/>
      <c r="IC321" s="133"/>
      <c r="ID321" s="133"/>
      <c r="IE321" s="133"/>
      <c r="IF321" s="133"/>
      <c r="IG321" s="133"/>
      <c r="IH321" s="133"/>
      <c r="II321" s="133"/>
      <c r="IJ321" s="133"/>
      <c r="IK321" s="133"/>
      <c r="IL321" s="133"/>
      <c r="IM321" s="133"/>
      <c r="IN321" s="133"/>
      <c r="IO321" s="133"/>
      <c r="IP321" s="133"/>
      <c r="IQ321" s="133"/>
      <c r="IR321" s="133"/>
      <c r="IS321" s="133"/>
      <c r="IT321" s="133"/>
      <c r="IU321" s="133"/>
      <c r="IV321" s="133"/>
    </row>
    <row r="322" spans="1:256" s="132" customFormat="1" ht="13.8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GE322" s="133"/>
      <c r="GF322" s="133"/>
      <c r="GG322" s="133"/>
      <c r="GH322" s="133"/>
      <c r="GI322" s="133"/>
      <c r="GJ322" s="133"/>
      <c r="GK322" s="133"/>
      <c r="GL322" s="133"/>
      <c r="GM322" s="133"/>
      <c r="GN322" s="133"/>
      <c r="GO322" s="133"/>
      <c r="GP322" s="133"/>
      <c r="GQ322" s="133"/>
      <c r="GR322" s="133"/>
      <c r="GS322" s="133"/>
      <c r="GT322" s="133"/>
      <c r="GU322" s="133"/>
      <c r="GV322" s="133"/>
      <c r="GW322" s="133"/>
      <c r="GX322" s="133"/>
      <c r="GY322" s="133"/>
      <c r="GZ322" s="133"/>
      <c r="HA322" s="133"/>
      <c r="HB322" s="133"/>
      <c r="HC322" s="133"/>
      <c r="HD322" s="133"/>
      <c r="HE322" s="133"/>
      <c r="HF322" s="133"/>
      <c r="HG322" s="133"/>
      <c r="HH322" s="133"/>
      <c r="HI322" s="133"/>
      <c r="HJ322" s="133"/>
      <c r="HK322" s="133"/>
      <c r="HL322" s="133"/>
      <c r="HM322" s="133"/>
      <c r="HN322" s="133"/>
      <c r="HO322" s="133"/>
      <c r="HP322" s="133"/>
      <c r="HQ322" s="133"/>
      <c r="HR322" s="133"/>
      <c r="HS322" s="133"/>
      <c r="HT322" s="133"/>
      <c r="HU322" s="133"/>
      <c r="HV322" s="133"/>
      <c r="HW322" s="133"/>
      <c r="HX322" s="133"/>
      <c r="HY322" s="133"/>
      <c r="HZ322" s="133"/>
      <c r="IA322" s="133"/>
      <c r="IB322" s="133"/>
      <c r="IC322" s="133"/>
      <c r="ID322" s="133"/>
      <c r="IE322" s="133"/>
      <c r="IF322" s="133"/>
      <c r="IG322" s="133"/>
      <c r="IH322" s="133"/>
      <c r="II322" s="133"/>
      <c r="IJ322" s="133"/>
      <c r="IK322" s="133"/>
      <c r="IL322" s="133"/>
      <c r="IM322" s="133"/>
      <c r="IN322" s="133"/>
      <c r="IO322" s="133"/>
      <c r="IP322" s="133"/>
      <c r="IQ322" s="133"/>
      <c r="IR322" s="133"/>
      <c r="IS322" s="133"/>
      <c r="IT322" s="133"/>
      <c r="IU322" s="133"/>
      <c r="IV322" s="133"/>
    </row>
    <row r="323" spans="1:256" s="132" customFormat="1" ht="13.8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GE323" s="133"/>
      <c r="GF323" s="133"/>
      <c r="GG323" s="133"/>
      <c r="GH323" s="133"/>
      <c r="GI323" s="133"/>
      <c r="GJ323" s="133"/>
      <c r="GK323" s="133"/>
      <c r="GL323" s="133"/>
      <c r="GM323" s="133"/>
      <c r="GN323" s="133"/>
      <c r="GO323" s="133"/>
      <c r="GP323" s="133"/>
      <c r="GQ323" s="133"/>
      <c r="GR323" s="133"/>
      <c r="GS323" s="133"/>
      <c r="GT323" s="133"/>
      <c r="GU323" s="133"/>
      <c r="GV323" s="133"/>
      <c r="GW323" s="133"/>
      <c r="GX323" s="133"/>
      <c r="GY323" s="133"/>
      <c r="GZ323" s="133"/>
      <c r="HA323" s="133"/>
      <c r="HB323" s="133"/>
      <c r="HC323" s="133"/>
      <c r="HD323" s="133"/>
      <c r="HE323" s="133"/>
      <c r="HF323" s="133"/>
      <c r="HG323" s="133"/>
      <c r="HH323" s="133"/>
      <c r="HI323" s="133"/>
      <c r="HJ323" s="133"/>
      <c r="HK323" s="133"/>
      <c r="HL323" s="133"/>
      <c r="HM323" s="133"/>
      <c r="HN323" s="133"/>
      <c r="HO323" s="133"/>
      <c r="HP323" s="133"/>
      <c r="HQ323" s="133"/>
      <c r="HR323" s="133"/>
      <c r="HS323" s="133"/>
      <c r="HT323" s="133"/>
      <c r="HU323" s="133"/>
      <c r="HV323" s="133"/>
      <c r="HW323" s="133"/>
      <c r="HX323" s="133"/>
      <c r="HY323" s="133"/>
      <c r="HZ323" s="133"/>
      <c r="IA323" s="133"/>
      <c r="IB323" s="133"/>
      <c r="IC323" s="133"/>
      <c r="ID323" s="133"/>
      <c r="IE323" s="133"/>
      <c r="IF323" s="133"/>
      <c r="IG323" s="133"/>
      <c r="IH323" s="133"/>
      <c r="II323" s="133"/>
      <c r="IJ323" s="133"/>
      <c r="IK323" s="133"/>
      <c r="IL323" s="133"/>
      <c r="IM323" s="133"/>
      <c r="IN323" s="133"/>
      <c r="IO323" s="133"/>
      <c r="IP323" s="133"/>
      <c r="IQ323" s="133"/>
      <c r="IR323" s="133"/>
      <c r="IS323" s="133"/>
      <c r="IT323" s="133"/>
      <c r="IU323" s="133"/>
      <c r="IV323" s="133"/>
    </row>
    <row r="324" spans="1:256" s="132" customFormat="1" ht="13.8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GE324" s="133"/>
      <c r="GF324" s="133"/>
      <c r="GG324" s="133"/>
      <c r="GH324" s="133"/>
      <c r="GI324" s="133"/>
      <c r="GJ324" s="133"/>
      <c r="GK324" s="133"/>
      <c r="GL324" s="133"/>
      <c r="GM324" s="133"/>
      <c r="GN324" s="133"/>
      <c r="GO324" s="133"/>
      <c r="GP324" s="133"/>
      <c r="GQ324" s="133"/>
      <c r="GR324" s="133"/>
      <c r="GS324" s="133"/>
      <c r="GT324" s="133"/>
      <c r="GU324" s="133"/>
      <c r="GV324" s="133"/>
      <c r="GW324" s="133"/>
      <c r="GX324" s="133"/>
      <c r="GY324" s="133"/>
      <c r="GZ324" s="133"/>
      <c r="HA324" s="133"/>
      <c r="HB324" s="133"/>
      <c r="HC324" s="133"/>
      <c r="HD324" s="133"/>
      <c r="HE324" s="133"/>
      <c r="HF324" s="133"/>
      <c r="HG324" s="133"/>
      <c r="HH324" s="133"/>
      <c r="HI324" s="133"/>
      <c r="HJ324" s="133"/>
      <c r="HK324" s="133"/>
      <c r="HL324" s="133"/>
      <c r="HM324" s="133"/>
      <c r="HN324" s="133"/>
      <c r="HO324" s="133"/>
      <c r="HP324" s="133"/>
      <c r="HQ324" s="133"/>
      <c r="HR324" s="133"/>
      <c r="HS324" s="133"/>
      <c r="HT324" s="133"/>
      <c r="HU324" s="133"/>
      <c r="HV324" s="133"/>
      <c r="HW324" s="133"/>
      <c r="HX324" s="133"/>
      <c r="HY324" s="133"/>
      <c r="HZ324" s="133"/>
      <c r="IA324" s="133"/>
      <c r="IB324" s="133"/>
      <c r="IC324" s="133"/>
      <c r="ID324" s="133"/>
      <c r="IE324" s="133"/>
      <c r="IF324" s="133"/>
      <c r="IG324" s="133"/>
      <c r="IH324" s="133"/>
      <c r="II324" s="133"/>
      <c r="IJ324" s="133"/>
      <c r="IK324" s="133"/>
      <c r="IL324" s="133"/>
      <c r="IM324" s="133"/>
      <c r="IN324" s="133"/>
      <c r="IO324" s="133"/>
      <c r="IP324" s="133"/>
      <c r="IQ324" s="133"/>
      <c r="IR324" s="133"/>
      <c r="IS324" s="133"/>
      <c r="IT324" s="133"/>
      <c r="IU324" s="133"/>
      <c r="IV324" s="133"/>
    </row>
    <row r="325" spans="1:256" s="132" customFormat="1" ht="13.8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GE325" s="133"/>
      <c r="GF325" s="133"/>
      <c r="GG325" s="133"/>
      <c r="GH325" s="133"/>
      <c r="GI325" s="133"/>
      <c r="GJ325" s="133"/>
      <c r="GK325" s="133"/>
      <c r="GL325" s="133"/>
      <c r="GM325" s="133"/>
      <c r="GN325" s="133"/>
      <c r="GO325" s="133"/>
      <c r="GP325" s="133"/>
      <c r="GQ325" s="133"/>
      <c r="GR325" s="133"/>
      <c r="GS325" s="133"/>
      <c r="GT325" s="133"/>
      <c r="GU325" s="133"/>
      <c r="GV325" s="133"/>
      <c r="GW325" s="133"/>
      <c r="GX325" s="133"/>
      <c r="GY325" s="133"/>
      <c r="GZ325" s="133"/>
      <c r="HA325" s="133"/>
      <c r="HB325" s="133"/>
      <c r="HC325" s="133"/>
      <c r="HD325" s="133"/>
      <c r="HE325" s="133"/>
      <c r="HF325" s="133"/>
      <c r="HG325" s="133"/>
      <c r="HH325" s="133"/>
      <c r="HI325" s="133"/>
      <c r="HJ325" s="133"/>
      <c r="HK325" s="133"/>
      <c r="HL325" s="133"/>
      <c r="HM325" s="133"/>
      <c r="HN325" s="133"/>
      <c r="HO325" s="133"/>
      <c r="HP325" s="133"/>
      <c r="HQ325" s="133"/>
      <c r="HR325" s="133"/>
      <c r="HS325" s="133"/>
      <c r="HT325" s="133"/>
      <c r="HU325" s="133"/>
      <c r="HV325" s="133"/>
      <c r="HW325" s="133"/>
      <c r="HX325" s="133"/>
      <c r="HY325" s="133"/>
      <c r="HZ325" s="133"/>
      <c r="IA325" s="133"/>
      <c r="IB325" s="133"/>
      <c r="IC325" s="133"/>
      <c r="ID325" s="133"/>
      <c r="IE325" s="133"/>
      <c r="IF325" s="133"/>
      <c r="IG325" s="133"/>
      <c r="IH325" s="133"/>
      <c r="II325" s="133"/>
      <c r="IJ325" s="133"/>
      <c r="IK325" s="133"/>
      <c r="IL325" s="133"/>
      <c r="IM325" s="133"/>
      <c r="IN325" s="133"/>
      <c r="IO325" s="133"/>
      <c r="IP325" s="133"/>
      <c r="IQ325" s="133"/>
      <c r="IR325" s="133"/>
      <c r="IS325" s="133"/>
      <c r="IT325" s="133"/>
      <c r="IU325" s="133"/>
      <c r="IV325" s="133"/>
    </row>
    <row r="326" spans="1:256" s="132" customFormat="1" ht="13.8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GE326" s="133"/>
      <c r="GF326" s="133"/>
      <c r="GG326" s="133"/>
      <c r="GH326" s="133"/>
      <c r="GI326" s="133"/>
      <c r="GJ326" s="133"/>
      <c r="GK326" s="133"/>
      <c r="GL326" s="133"/>
      <c r="GM326" s="133"/>
      <c r="GN326" s="133"/>
      <c r="GO326" s="133"/>
      <c r="GP326" s="133"/>
      <c r="GQ326" s="133"/>
      <c r="GR326" s="133"/>
      <c r="GS326" s="133"/>
      <c r="GT326" s="133"/>
      <c r="GU326" s="133"/>
      <c r="GV326" s="133"/>
      <c r="GW326" s="133"/>
      <c r="GX326" s="133"/>
      <c r="GY326" s="133"/>
      <c r="GZ326" s="133"/>
      <c r="HA326" s="133"/>
      <c r="HB326" s="133"/>
      <c r="HC326" s="133"/>
      <c r="HD326" s="133"/>
      <c r="HE326" s="133"/>
      <c r="HF326" s="133"/>
      <c r="HG326" s="133"/>
      <c r="HH326" s="133"/>
      <c r="HI326" s="133"/>
      <c r="HJ326" s="133"/>
      <c r="HK326" s="133"/>
      <c r="HL326" s="133"/>
      <c r="HM326" s="133"/>
      <c r="HN326" s="133"/>
      <c r="HO326" s="133"/>
      <c r="HP326" s="133"/>
      <c r="HQ326" s="133"/>
      <c r="HR326" s="133"/>
      <c r="HS326" s="133"/>
      <c r="HT326" s="133"/>
      <c r="HU326" s="133"/>
      <c r="HV326" s="133"/>
      <c r="HW326" s="133"/>
      <c r="HX326" s="133"/>
      <c r="HY326" s="133"/>
      <c r="HZ326" s="133"/>
      <c r="IA326" s="133"/>
      <c r="IB326" s="133"/>
      <c r="IC326" s="133"/>
      <c r="ID326" s="133"/>
      <c r="IE326" s="133"/>
      <c r="IF326" s="133"/>
      <c r="IG326" s="133"/>
      <c r="IH326" s="133"/>
      <c r="II326" s="133"/>
      <c r="IJ326" s="133"/>
      <c r="IK326" s="133"/>
      <c r="IL326" s="133"/>
      <c r="IM326" s="133"/>
      <c r="IN326" s="133"/>
      <c r="IO326" s="133"/>
      <c r="IP326" s="133"/>
      <c r="IQ326" s="133"/>
      <c r="IR326" s="133"/>
      <c r="IS326" s="133"/>
      <c r="IT326" s="133"/>
      <c r="IU326" s="133"/>
      <c r="IV326" s="133"/>
    </row>
    <row r="327" spans="1:256" s="132" customFormat="1" ht="13.8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GE327" s="133"/>
      <c r="GF327" s="133"/>
      <c r="GG327" s="133"/>
      <c r="GH327" s="133"/>
      <c r="GI327" s="133"/>
      <c r="GJ327" s="133"/>
      <c r="GK327" s="133"/>
      <c r="GL327" s="133"/>
      <c r="GM327" s="133"/>
      <c r="GN327" s="133"/>
      <c r="GO327" s="133"/>
      <c r="GP327" s="133"/>
      <c r="GQ327" s="133"/>
      <c r="GR327" s="133"/>
      <c r="GS327" s="133"/>
      <c r="GT327" s="133"/>
      <c r="GU327" s="133"/>
      <c r="GV327" s="133"/>
      <c r="GW327" s="133"/>
      <c r="GX327" s="133"/>
      <c r="GY327" s="133"/>
      <c r="GZ327" s="133"/>
      <c r="HA327" s="133"/>
      <c r="HB327" s="133"/>
      <c r="HC327" s="133"/>
      <c r="HD327" s="133"/>
      <c r="HE327" s="133"/>
      <c r="HF327" s="133"/>
      <c r="HG327" s="133"/>
      <c r="HH327" s="133"/>
      <c r="HI327" s="133"/>
      <c r="HJ327" s="133"/>
      <c r="HK327" s="133"/>
      <c r="HL327" s="133"/>
      <c r="HM327" s="133"/>
      <c r="HN327" s="133"/>
      <c r="HO327" s="133"/>
      <c r="HP327" s="133"/>
      <c r="HQ327" s="133"/>
      <c r="HR327" s="133"/>
      <c r="HS327" s="133"/>
      <c r="HT327" s="133"/>
      <c r="HU327" s="133"/>
      <c r="HV327" s="133"/>
      <c r="HW327" s="133"/>
      <c r="HX327" s="133"/>
      <c r="HY327" s="133"/>
      <c r="HZ327" s="133"/>
      <c r="IA327" s="133"/>
      <c r="IB327" s="133"/>
      <c r="IC327" s="133"/>
      <c r="ID327" s="133"/>
      <c r="IE327" s="133"/>
      <c r="IF327" s="133"/>
      <c r="IG327" s="133"/>
      <c r="IH327" s="133"/>
      <c r="II327" s="133"/>
      <c r="IJ327" s="133"/>
      <c r="IK327" s="133"/>
      <c r="IL327" s="133"/>
      <c r="IM327" s="133"/>
      <c r="IN327" s="133"/>
      <c r="IO327" s="133"/>
      <c r="IP327" s="133"/>
      <c r="IQ327" s="133"/>
      <c r="IR327" s="133"/>
      <c r="IS327" s="133"/>
      <c r="IT327" s="133"/>
      <c r="IU327" s="133"/>
      <c r="IV327" s="133"/>
    </row>
    <row r="328" spans="1:256" s="132" customFormat="1" ht="13.8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GE328" s="133"/>
      <c r="GF328" s="133"/>
      <c r="GG328" s="133"/>
      <c r="GH328" s="133"/>
      <c r="GI328" s="133"/>
      <c r="GJ328" s="133"/>
      <c r="GK328" s="133"/>
      <c r="GL328" s="133"/>
      <c r="GM328" s="133"/>
      <c r="GN328" s="133"/>
      <c r="GO328" s="133"/>
      <c r="GP328" s="133"/>
      <c r="GQ328" s="133"/>
      <c r="GR328" s="133"/>
      <c r="GS328" s="133"/>
      <c r="GT328" s="133"/>
      <c r="GU328" s="133"/>
      <c r="GV328" s="133"/>
      <c r="GW328" s="133"/>
      <c r="GX328" s="133"/>
      <c r="GY328" s="133"/>
      <c r="GZ328" s="133"/>
      <c r="HA328" s="133"/>
      <c r="HB328" s="133"/>
      <c r="HC328" s="133"/>
      <c r="HD328" s="133"/>
      <c r="HE328" s="133"/>
      <c r="HF328" s="133"/>
      <c r="HG328" s="133"/>
      <c r="HH328" s="133"/>
      <c r="HI328" s="133"/>
      <c r="HJ328" s="133"/>
      <c r="HK328" s="133"/>
      <c r="HL328" s="133"/>
      <c r="HM328" s="133"/>
      <c r="HN328" s="133"/>
      <c r="HO328" s="133"/>
      <c r="HP328" s="133"/>
      <c r="HQ328" s="133"/>
      <c r="HR328" s="133"/>
      <c r="HS328" s="133"/>
      <c r="HT328" s="133"/>
      <c r="HU328" s="133"/>
      <c r="HV328" s="133"/>
      <c r="HW328" s="133"/>
      <c r="HX328" s="133"/>
      <c r="HY328" s="133"/>
      <c r="HZ328" s="133"/>
      <c r="IA328" s="133"/>
      <c r="IB328" s="133"/>
      <c r="IC328" s="133"/>
      <c r="ID328" s="133"/>
      <c r="IE328" s="133"/>
      <c r="IF328" s="133"/>
      <c r="IG328" s="133"/>
      <c r="IH328" s="133"/>
      <c r="II328" s="133"/>
      <c r="IJ328" s="133"/>
      <c r="IK328" s="133"/>
      <c r="IL328" s="133"/>
      <c r="IM328" s="133"/>
      <c r="IN328" s="133"/>
      <c r="IO328" s="133"/>
      <c r="IP328" s="133"/>
      <c r="IQ328" s="133"/>
      <c r="IR328" s="133"/>
      <c r="IS328" s="133"/>
      <c r="IT328" s="133"/>
      <c r="IU328" s="133"/>
      <c r="IV328" s="133"/>
    </row>
    <row r="329" spans="1:256" s="132" customFormat="1" ht="13.8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GE329" s="133"/>
      <c r="GF329" s="133"/>
      <c r="GG329" s="133"/>
      <c r="GH329" s="133"/>
      <c r="GI329" s="133"/>
      <c r="GJ329" s="133"/>
      <c r="GK329" s="133"/>
      <c r="GL329" s="133"/>
      <c r="GM329" s="133"/>
      <c r="GN329" s="133"/>
      <c r="GO329" s="133"/>
      <c r="GP329" s="133"/>
      <c r="GQ329" s="133"/>
      <c r="GR329" s="133"/>
      <c r="GS329" s="133"/>
      <c r="GT329" s="133"/>
      <c r="GU329" s="133"/>
      <c r="GV329" s="133"/>
      <c r="GW329" s="133"/>
      <c r="GX329" s="133"/>
      <c r="GY329" s="133"/>
      <c r="GZ329" s="133"/>
      <c r="HA329" s="133"/>
      <c r="HB329" s="133"/>
      <c r="HC329" s="133"/>
      <c r="HD329" s="133"/>
      <c r="HE329" s="133"/>
      <c r="HF329" s="133"/>
      <c r="HG329" s="133"/>
      <c r="HH329" s="133"/>
      <c r="HI329" s="133"/>
      <c r="HJ329" s="133"/>
      <c r="HK329" s="133"/>
      <c r="HL329" s="133"/>
      <c r="HM329" s="133"/>
      <c r="HN329" s="133"/>
      <c r="HO329" s="133"/>
      <c r="HP329" s="133"/>
      <c r="HQ329" s="133"/>
      <c r="HR329" s="133"/>
      <c r="HS329" s="133"/>
      <c r="HT329" s="133"/>
      <c r="HU329" s="133"/>
      <c r="HV329" s="133"/>
      <c r="HW329" s="133"/>
      <c r="HX329" s="133"/>
      <c r="HY329" s="133"/>
      <c r="HZ329" s="133"/>
      <c r="IA329" s="133"/>
      <c r="IB329" s="133"/>
      <c r="IC329" s="133"/>
      <c r="ID329" s="133"/>
      <c r="IE329" s="133"/>
      <c r="IF329" s="133"/>
      <c r="IG329" s="133"/>
      <c r="IH329" s="133"/>
      <c r="II329" s="133"/>
      <c r="IJ329" s="133"/>
      <c r="IK329" s="133"/>
      <c r="IL329" s="133"/>
      <c r="IM329" s="133"/>
      <c r="IN329" s="133"/>
      <c r="IO329" s="133"/>
      <c r="IP329" s="133"/>
      <c r="IQ329" s="133"/>
      <c r="IR329" s="133"/>
      <c r="IS329" s="133"/>
      <c r="IT329" s="133"/>
      <c r="IU329" s="133"/>
      <c r="IV329" s="133"/>
    </row>
    <row r="330" spans="1:256" s="132" customFormat="1" ht="13.8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GE330" s="133"/>
      <c r="GF330" s="133"/>
      <c r="GG330" s="133"/>
      <c r="GH330" s="133"/>
      <c r="GI330" s="133"/>
      <c r="GJ330" s="133"/>
      <c r="GK330" s="133"/>
      <c r="GL330" s="133"/>
      <c r="GM330" s="133"/>
      <c r="GN330" s="133"/>
      <c r="GO330" s="133"/>
      <c r="GP330" s="133"/>
      <c r="GQ330" s="133"/>
      <c r="GR330" s="133"/>
      <c r="GS330" s="133"/>
      <c r="GT330" s="133"/>
      <c r="GU330" s="133"/>
      <c r="GV330" s="133"/>
      <c r="GW330" s="133"/>
      <c r="GX330" s="133"/>
      <c r="GY330" s="133"/>
      <c r="GZ330" s="133"/>
      <c r="HA330" s="133"/>
      <c r="HB330" s="133"/>
      <c r="HC330" s="133"/>
      <c r="HD330" s="133"/>
      <c r="HE330" s="133"/>
      <c r="HF330" s="133"/>
      <c r="HG330" s="133"/>
      <c r="HH330" s="133"/>
      <c r="HI330" s="133"/>
      <c r="HJ330" s="133"/>
      <c r="HK330" s="133"/>
      <c r="HL330" s="133"/>
      <c r="HM330" s="133"/>
      <c r="HN330" s="133"/>
      <c r="HO330" s="133"/>
      <c r="HP330" s="133"/>
      <c r="HQ330" s="133"/>
      <c r="HR330" s="133"/>
      <c r="HS330" s="133"/>
      <c r="HT330" s="133"/>
      <c r="HU330" s="133"/>
      <c r="HV330" s="133"/>
      <c r="HW330" s="133"/>
      <c r="HX330" s="133"/>
      <c r="HY330" s="133"/>
      <c r="HZ330" s="133"/>
      <c r="IA330" s="133"/>
      <c r="IB330" s="133"/>
      <c r="IC330" s="133"/>
      <c r="ID330" s="133"/>
      <c r="IE330" s="133"/>
      <c r="IF330" s="133"/>
      <c r="IG330" s="133"/>
      <c r="IH330" s="133"/>
      <c r="II330" s="133"/>
      <c r="IJ330" s="133"/>
      <c r="IK330" s="133"/>
      <c r="IL330" s="133"/>
      <c r="IM330" s="133"/>
      <c r="IN330" s="133"/>
      <c r="IO330" s="133"/>
      <c r="IP330" s="133"/>
      <c r="IQ330" s="133"/>
      <c r="IR330" s="133"/>
      <c r="IS330" s="133"/>
      <c r="IT330" s="133"/>
      <c r="IU330" s="133"/>
      <c r="IV330" s="133"/>
    </row>
    <row r="331" spans="1:256" s="132" customFormat="1" ht="13.8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GE331" s="133"/>
      <c r="GF331" s="133"/>
      <c r="GG331" s="133"/>
      <c r="GH331" s="133"/>
      <c r="GI331" s="133"/>
      <c r="GJ331" s="133"/>
      <c r="GK331" s="133"/>
      <c r="GL331" s="133"/>
      <c r="GM331" s="133"/>
      <c r="GN331" s="133"/>
      <c r="GO331" s="133"/>
      <c r="GP331" s="133"/>
      <c r="GQ331" s="133"/>
      <c r="GR331" s="133"/>
      <c r="GS331" s="133"/>
      <c r="GT331" s="133"/>
      <c r="GU331" s="133"/>
      <c r="GV331" s="133"/>
      <c r="GW331" s="133"/>
      <c r="GX331" s="133"/>
      <c r="GY331" s="133"/>
      <c r="GZ331" s="133"/>
      <c r="HA331" s="133"/>
      <c r="HB331" s="133"/>
      <c r="HC331" s="133"/>
      <c r="HD331" s="133"/>
      <c r="HE331" s="133"/>
      <c r="HF331" s="133"/>
      <c r="HG331" s="133"/>
      <c r="HH331" s="133"/>
      <c r="HI331" s="133"/>
      <c r="HJ331" s="133"/>
      <c r="HK331" s="133"/>
      <c r="HL331" s="133"/>
      <c r="HM331" s="133"/>
      <c r="HN331" s="133"/>
      <c r="HO331" s="133"/>
      <c r="HP331" s="133"/>
      <c r="HQ331" s="133"/>
      <c r="HR331" s="133"/>
      <c r="HS331" s="133"/>
      <c r="HT331" s="133"/>
      <c r="HU331" s="133"/>
      <c r="HV331" s="133"/>
      <c r="HW331" s="133"/>
      <c r="HX331" s="133"/>
      <c r="HY331" s="133"/>
      <c r="HZ331" s="133"/>
      <c r="IA331" s="133"/>
      <c r="IB331" s="133"/>
      <c r="IC331" s="133"/>
      <c r="ID331" s="133"/>
      <c r="IE331" s="133"/>
      <c r="IF331" s="133"/>
      <c r="IG331" s="133"/>
      <c r="IH331" s="133"/>
      <c r="II331" s="133"/>
      <c r="IJ331" s="133"/>
      <c r="IK331" s="133"/>
      <c r="IL331" s="133"/>
      <c r="IM331" s="133"/>
      <c r="IN331" s="133"/>
      <c r="IO331" s="133"/>
      <c r="IP331" s="133"/>
      <c r="IQ331" s="133"/>
      <c r="IR331" s="133"/>
      <c r="IS331" s="133"/>
      <c r="IT331" s="133"/>
      <c r="IU331" s="133"/>
      <c r="IV331" s="133"/>
    </row>
    <row r="332" spans="1:256" s="132" customFormat="1" ht="13.8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GE332" s="133"/>
      <c r="GF332" s="133"/>
      <c r="GG332" s="133"/>
      <c r="GH332" s="133"/>
      <c r="GI332" s="133"/>
      <c r="GJ332" s="133"/>
      <c r="GK332" s="133"/>
      <c r="GL332" s="133"/>
      <c r="GM332" s="133"/>
      <c r="GN332" s="133"/>
      <c r="GO332" s="133"/>
      <c r="GP332" s="133"/>
      <c r="GQ332" s="133"/>
      <c r="GR332" s="133"/>
      <c r="GS332" s="133"/>
      <c r="GT332" s="133"/>
      <c r="GU332" s="133"/>
      <c r="GV332" s="133"/>
      <c r="GW332" s="133"/>
      <c r="GX332" s="133"/>
      <c r="GY332" s="133"/>
      <c r="GZ332" s="133"/>
      <c r="HA332" s="133"/>
      <c r="HB332" s="133"/>
      <c r="HC332" s="133"/>
      <c r="HD332" s="133"/>
      <c r="HE332" s="133"/>
      <c r="HF332" s="133"/>
      <c r="HG332" s="133"/>
      <c r="HH332" s="133"/>
      <c r="HI332" s="133"/>
      <c r="HJ332" s="133"/>
      <c r="HK332" s="133"/>
      <c r="HL332" s="133"/>
      <c r="HM332" s="133"/>
      <c r="HN332" s="133"/>
      <c r="HO332" s="133"/>
      <c r="HP332" s="133"/>
      <c r="HQ332" s="133"/>
      <c r="HR332" s="133"/>
      <c r="HS332" s="133"/>
      <c r="HT332" s="133"/>
      <c r="HU332" s="133"/>
      <c r="HV332" s="133"/>
      <c r="HW332" s="133"/>
      <c r="HX332" s="133"/>
      <c r="HY332" s="133"/>
      <c r="HZ332" s="133"/>
      <c r="IA332" s="133"/>
      <c r="IB332" s="133"/>
      <c r="IC332" s="133"/>
      <c r="ID332" s="133"/>
      <c r="IE332" s="133"/>
      <c r="IF332" s="133"/>
      <c r="IG332" s="133"/>
      <c r="IH332" s="133"/>
      <c r="II332" s="133"/>
      <c r="IJ332" s="133"/>
      <c r="IK332" s="133"/>
      <c r="IL332" s="133"/>
      <c r="IM332" s="133"/>
      <c r="IN332" s="133"/>
      <c r="IO332" s="133"/>
      <c r="IP332" s="133"/>
      <c r="IQ332" s="133"/>
      <c r="IR332" s="133"/>
      <c r="IS332" s="133"/>
      <c r="IT332" s="133"/>
      <c r="IU332" s="133"/>
      <c r="IV332" s="133"/>
    </row>
    <row r="333" spans="1:256" s="132" customFormat="1" ht="13.8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GE333" s="133"/>
      <c r="GF333" s="133"/>
      <c r="GG333" s="133"/>
      <c r="GH333" s="133"/>
      <c r="GI333" s="133"/>
      <c r="GJ333" s="133"/>
      <c r="GK333" s="133"/>
      <c r="GL333" s="133"/>
      <c r="GM333" s="133"/>
      <c r="GN333" s="133"/>
      <c r="GO333" s="133"/>
      <c r="GP333" s="133"/>
      <c r="GQ333" s="133"/>
      <c r="GR333" s="133"/>
      <c r="GS333" s="133"/>
      <c r="GT333" s="133"/>
      <c r="GU333" s="133"/>
      <c r="GV333" s="133"/>
      <c r="GW333" s="133"/>
      <c r="GX333" s="133"/>
      <c r="GY333" s="133"/>
      <c r="GZ333" s="133"/>
      <c r="HA333" s="133"/>
      <c r="HB333" s="133"/>
      <c r="HC333" s="133"/>
      <c r="HD333" s="133"/>
      <c r="HE333" s="133"/>
      <c r="HF333" s="133"/>
      <c r="HG333" s="133"/>
      <c r="HH333" s="133"/>
      <c r="HI333" s="133"/>
      <c r="HJ333" s="133"/>
      <c r="HK333" s="133"/>
      <c r="HL333" s="133"/>
      <c r="HM333" s="133"/>
      <c r="HN333" s="133"/>
      <c r="HO333" s="133"/>
      <c r="HP333" s="133"/>
      <c r="HQ333" s="133"/>
      <c r="HR333" s="133"/>
      <c r="HS333" s="133"/>
      <c r="HT333" s="133"/>
      <c r="HU333" s="133"/>
      <c r="HV333" s="133"/>
      <c r="HW333" s="133"/>
      <c r="HX333" s="133"/>
      <c r="HY333" s="133"/>
      <c r="HZ333" s="133"/>
      <c r="IA333" s="133"/>
      <c r="IB333" s="133"/>
      <c r="IC333" s="133"/>
      <c r="ID333" s="133"/>
      <c r="IE333" s="133"/>
      <c r="IF333" s="133"/>
      <c r="IG333" s="133"/>
      <c r="IH333" s="133"/>
      <c r="II333" s="133"/>
      <c r="IJ333" s="133"/>
      <c r="IK333" s="133"/>
      <c r="IL333" s="133"/>
      <c r="IM333" s="133"/>
      <c r="IN333" s="133"/>
      <c r="IO333" s="133"/>
      <c r="IP333" s="133"/>
      <c r="IQ333" s="133"/>
      <c r="IR333" s="133"/>
      <c r="IS333" s="133"/>
      <c r="IT333" s="133"/>
      <c r="IU333" s="133"/>
      <c r="IV333" s="133"/>
    </row>
    <row r="334" spans="1:256" s="132" customFormat="1" ht="13.8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GE334" s="133"/>
      <c r="GF334" s="133"/>
      <c r="GG334" s="133"/>
      <c r="GH334" s="133"/>
      <c r="GI334" s="133"/>
      <c r="GJ334" s="133"/>
      <c r="GK334" s="133"/>
      <c r="GL334" s="133"/>
      <c r="GM334" s="133"/>
      <c r="GN334" s="133"/>
      <c r="GO334" s="133"/>
      <c r="GP334" s="133"/>
      <c r="GQ334" s="133"/>
      <c r="GR334" s="133"/>
      <c r="GS334" s="133"/>
      <c r="GT334" s="133"/>
      <c r="GU334" s="133"/>
      <c r="GV334" s="133"/>
      <c r="GW334" s="133"/>
      <c r="GX334" s="133"/>
      <c r="GY334" s="133"/>
      <c r="GZ334" s="133"/>
      <c r="HA334" s="133"/>
      <c r="HB334" s="133"/>
      <c r="HC334" s="133"/>
      <c r="HD334" s="133"/>
      <c r="HE334" s="133"/>
      <c r="HF334" s="133"/>
      <c r="HG334" s="133"/>
      <c r="HH334" s="133"/>
      <c r="HI334" s="133"/>
      <c r="HJ334" s="133"/>
      <c r="HK334" s="133"/>
      <c r="HL334" s="133"/>
      <c r="HM334" s="133"/>
      <c r="HN334" s="133"/>
      <c r="HO334" s="133"/>
      <c r="HP334" s="133"/>
      <c r="HQ334" s="133"/>
      <c r="HR334" s="133"/>
      <c r="HS334" s="133"/>
      <c r="HT334" s="133"/>
      <c r="HU334" s="133"/>
      <c r="HV334" s="133"/>
      <c r="HW334" s="133"/>
      <c r="HX334" s="133"/>
      <c r="HY334" s="133"/>
      <c r="HZ334" s="133"/>
      <c r="IA334" s="133"/>
      <c r="IB334" s="133"/>
      <c r="IC334" s="133"/>
      <c r="ID334" s="133"/>
      <c r="IE334" s="133"/>
      <c r="IF334" s="133"/>
      <c r="IG334" s="133"/>
      <c r="IH334" s="133"/>
      <c r="II334" s="133"/>
      <c r="IJ334" s="133"/>
      <c r="IK334" s="133"/>
      <c r="IL334" s="133"/>
      <c r="IM334" s="133"/>
      <c r="IN334" s="133"/>
      <c r="IO334" s="133"/>
      <c r="IP334" s="133"/>
      <c r="IQ334" s="133"/>
      <c r="IR334" s="133"/>
      <c r="IS334" s="133"/>
      <c r="IT334" s="133"/>
      <c r="IU334" s="133"/>
      <c r="IV334" s="133"/>
    </row>
    <row r="335" spans="1:256" s="132" customFormat="1" ht="13.8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GE335" s="133"/>
      <c r="GF335" s="133"/>
      <c r="GG335" s="133"/>
      <c r="GH335" s="133"/>
      <c r="GI335" s="133"/>
      <c r="GJ335" s="133"/>
      <c r="GK335" s="133"/>
      <c r="GL335" s="133"/>
      <c r="GM335" s="133"/>
      <c r="GN335" s="133"/>
      <c r="GO335" s="133"/>
      <c r="GP335" s="133"/>
      <c r="GQ335" s="133"/>
      <c r="GR335" s="133"/>
      <c r="GS335" s="133"/>
      <c r="GT335" s="133"/>
      <c r="GU335" s="133"/>
      <c r="GV335" s="133"/>
      <c r="GW335" s="133"/>
      <c r="GX335" s="133"/>
      <c r="GY335" s="133"/>
      <c r="GZ335" s="133"/>
      <c r="HA335" s="133"/>
      <c r="HB335" s="133"/>
      <c r="HC335" s="133"/>
      <c r="HD335" s="133"/>
      <c r="HE335" s="133"/>
      <c r="HF335" s="133"/>
      <c r="HG335" s="133"/>
      <c r="HH335" s="133"/>
      <c r="HI335" s="133"/>
      <c r="HJ335" s="133"/>
      <c r="HK335" s="133"/>
      <c r="HL335" s="133"/>
      <c r="HM335" s="133"/>
      <c r="HN335" s="133"/>
      <c r="HO335" s="133"/>
      <c r="HP335" s="133"/>
      <c r="HQ335" s="133"/>
      <c r="HR335" s="133"/>
      <c r="HS335" s="133"/>
      <c r="HT335" s="133"/>
      <c r="HU335" s="133"/>
      <c r="HV335" s="133"/>
      <c r="HW335" s="133"/>
      <c r="HX335" s="133"/>
      <c r="HY335" s="133"/>
      <c r="HZ335" s="133"/>
      <c r="IA335" s="133"/>
      <c r="IB335" s="133"/>
      <c r="IC335" s="133"/>
      <c r="ID335" s="133"/>
      <c r="IE335" s="133"/>
      <c r="IF335" s="133"/>
      <c r="IG335" s="133"/>
      <c r="IH335" s="133"/>
      <c r="II335" s="133"/>
      <c r="IJ335" s="133"/>
      <c r="IK335" s="133"/>
      <c r="IL335" s="133"/>
      <c r="IM335" s="133"/>
      <c r="IN335" s="133"/>
      <c r="IO335" s="133"/>
      <c r="IP335" s="133"/>
      <c r="IQ335" s="133"/>
      <c r="IR335" s="133"/>
      <c r="IS335" s="133"/>
      <c r="IT335" s="133"/>
      <c r="IU335" s="133"/>
      <c r="IV335" s="133"/>
    </row>
    <row r="336" spans="1:256" s="132" customFormat="1" ht="13.8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GE336" s="133"/>
      <c r="GF336" s="133"/>
      <c r="GG336" s="133"/>
      <c r="GH336" s="133"/>
      <c r="GI336" s="133"/>
      <c r="GJ336" s="133"/>
      <c r="GK336" s="133"/>
      <c r="GL336" s="133"/>
      <c r="GM336" s="133"/>
      <c r="GN336" s="133"/>
      <c r="GO336" s="133"/>
      <c r="GP336" s="133"/>
      <c r="GQ336" s="133"/>
      <c r="GR336" s="133"/>
      <c r="GS336" s="133"/>
      <c r="GT336" s="133"/>
      <c r="GU336" s="133"/>
      <c r="GV336" s="133"/>
      <c r="GW336" s="133"/>
      <c r="GX336" s="133"/>
      <c r="GY336" s="133"/>
      <c r="GZ336" s="133"/>
      <c r="HA336" s="133"/>
      <c r="HB336" s="133"/>
      <c r="HC336" s="133"/>
      <c r="HD336" s="133"/>
      <c r="HE336" s="133"/>
      <c r="HF336" s="133"/>
      <c r="HG336" s="133"/>
      <c r="HH336" s="133"/>
      <c r="HI336" s="133"/>
      <c r="HJ336" s="133"/>
      <c r="HK336" s="133"/>
      <c r="HL336" s="133"/>
      <c r="HM336" s="133"/>
      <c r="HN336" s="133"/>
      <c r="HO336" s="133"/>
      <c r="HP336" s="133"/>
      <c r="HQ336" s="133"/>
      <c r="HR336" s="133"/>
      <c r="HS336" s="133"/>
      <c r="HT336" s="133"/>
      <c r="HU336" s="133"/>
      <c r="HV336" s="133"/>
      <c r="HW336" s="133"/>
      <c r="HX336" s="133"/>
      <c r="HY336" s="133"/>
      <c r="HZ336" s="133"/>
      <c r="IA336" s="133"/>
      <c r="IB336" s="133"/>
      <c r="IC336" s="133"/>
      <c r="ID336" s="133"/>
      <c r="IE336" s="133"/>
      <c r="IF336" s="133"/>
      <c r="IG336" s="133"/>
      <c r="IH336" s="133"/>
      <c r="II336" s="133"/>
      <c r="IJ336" s="133"/>
      <c r="IK336" s="133"/>
      <c r="IL336" s="133"/>
      <c r="IM336" s="133"/>
      <c r="IN336" s="133"/>
      <c r="IO336" s="133"/>
      <c r="IP336" s="133"/>
      <c r="IQ336" s="133"/>
      <c r="IR336" s="133"/>
      <c r="IS336" s="133"/>
      <c r="IT336" s="133"/>
      <c r="IU336" s="133"/>
      <c r="IV336" s="133"/>
    </row>
    <row r="337" spans="1:256" s="132" customFormat="1" ht="13.8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GE337" s="133"/>
      <c r="GF337" s="133"/>
      <c r="GG337" s="133"/>
      <c r="GH337" s="133"/>
      <c r="GI337" s="133"/>
      <c r="GJ337" s="133"/>
      <c r="GK337" s="133"/>
      <c r="GL337" s="133"/>
      <c r="GM337" s="133"/>
      <c r="GN337" s="133"/>
      <c r="GO337" s="133"/>
      <c r="GP337" s="133"/>
      <c r="GQ337" s="133"/>
      <c r="GR337" s="133"/>
      <c r="GS337" s="133"/>
      <c r="GT337" s="133"/>
      <c r="GU337" s="133"/>
      <c r="GV337" s="133"/>
      <c r="GW337" s="133"/>
      <c r="GX337" s="133"/>
      <c r="GY337" s="133"/>
      <c r="GZ337" s="133"/>
      <c r="HA337" s="133"/>
      <c r="HB337" s="133"/>
      <c r="HC337" s="133"/>
      <c r="HD337" s="133"/>
      <c r="HE337" s="133"/>
      <c r="HF337" s="133"/>
      <c r="HG337" s="133"/>
      <c r="HH337" s="133"/>
      <c r="HI337" s="133"/>
      <c r="HJ337" s="133"/>
      <c r="HK337" s="133"/>
      <c r="HL337" s="133"/>
      <c r="HM337" s="133"/>
      <c r="HN337" s="133"/>
      <c r="HO337" s="133"/>
      <c r="HP337" s="133"/>
      <c r="HQ337" s="133"/>
      <c r="HR337" s="133"/>
      <c r="HS337" s="133"/>
      <c r="HT337" s="133"/>
      <c r="HU337" s="133"/>
      <c r="HV337" s="133"/>
      <c r="HW337" s="133"/>
      <c r="HX337" s="133"/>
      <c r="HY337" s="133"/>
      <c r="HZ337" s="133"/>
      <c r="IA337" s="133"/>
      <c r="IB337" s="133"/>
      <c r="IC337" s="133"/>
      <c r="ID337" s="133"/>
      <c r="IE337" s="133"/>
      <c r="IF337" s="133"/>
      <c r="IG337" s="133"/>
      <c r="IH337" s="133"/>
      <c r="II337" s="133"/>
      <c r="IJ337" s="133"/>
      <c r="IK337" s="133"/>
      <c r="IL337" s="133"/>
      <c r="IM337" s="133"/>
      <c r="IN337" s="133"/>
      <c r="IO337" s="133"/>
      <c r="IP337" s="133"/>
      <c r="IQ337" s="133"/>
      <c r="IR337" s="133"/>
      <c r="IS337" s="133"/>
      <c r="IT337" s="133"/>
      <c r="IU337" s="133"/>
      <c r="IV337" s="133"/>
    </row>
    <row r="338" spans="1:256" s="132" customFormat="1" ht="13.8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GE338" s="133"/>
      <c r="GF338" s="133"/>
      <c r="GG338" s="133"/>
      <c r="GH338" s="133"/>
      <c r="GI338" s="133"/>
      <c r="GJ338" s="133"/>
      <c r="GK338" s="133"/>
      <c r="GL338" s="133"/>
      <c r="GM338" s="133"/>
      <c r="GN338" s="133"/>
      <c r="GO338" s="133"/>
      <c r="GP338" s="133"/>
      <c r="GQ338" s="133"/>
      <c r="GR338" s="133"/>
      <c r="GS338" s="133"/>
      <c r="GT338" s="133"/>
      <c r="GU338" s="133"/>
      <c r="GV338" s="133"/>
      <c r="GW338" s="133"/>
      <c r="GX338" s="133"/>
      <c r="GY338" s="133"/>
      <c r="GZ338" s="133"/>
      <c r="HA338" s="133"/>
      <c r="HB338" s="133"/>
      <c r="HC338" s="133"/>
      <c r="HD338" s="133"/>
      <c r="HE338" s="133"/>
      <c r="HF338" s="133"/>
      <c r="HG338" s="133"/>
      <c r="HH338" s="133"/>
      <c r="HI338" s="133"/>
      <c r="HJ338" s="133"/>
      <c r="HK338" s="133"/>
      <c r="HL338" s="133"/>
      <c r="HM338" s="133"/>
      <c r="HN338" s="133"/>
      <c r="HO338" s="133"/>
      <c r="HP338" s="133"/>
      <c r="HQ338" s="133"/>
      <c r="HR338" s="133"/>
      <c r="HS338" s="133"/>
      <c r="HT338" s="133"/>
      <c r="HU338" s="133"/>
      <c r="HV338" s="133"/>
      <c r="HW338" s="133"/>
      <c r="HX338" s="133"/>
      <c r="HY338" s="133"/>
      <c r="HZ338" s="133"/>
      <c r="IA338" s="133"/>
      <c r="IB338" s="133"/>
      <c r="IC338" s="133"/>
      <c r="ID338" s="133"/>
      <c r="IE338" s="133"/>
      <c r="IF338" s="133"/>
      <c r="IG338" s="133"/>
      <c r="IH338" s="133"/>
      <c r="II338" s="133"/>
      <c r="IJ338" s="133"/>
      <c r="IK338" s="133"/>
      <c r="IL338" s="133"/>
      <c r="IM338" s="133"/>
      <c r="IN338" s="133"/>
      <c r="IO338" s="133"/>
      <c r="IP338" s="133"/>
      <c r="IQ338" s="133"/>
      <c r="IR338" s="133"/>
      <c r="IS338" s="133"/>
      <c r="IT338" s="133"/>
      <c r="IU338" s="133"/>
      <c r="IV338" s="133"/>
    </row>
    <row r="339" spans="1:256" s="132" customFormat="1" ht="13.8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GE339" s="133"/>
      <c r="GF339" s="133"/>
      <c r="GG339" s="133"/>
      <c r="GH339" s="133"/>
      <c r="GI339" s="133"/>
      <c r="GJ339" s="133"/>
      <c r="GK339" s="133"/>
      <c r="GL339" s="133"/>
      <c r="GM339" s="133"/>
      <c r="GN339" s="133"/>
      <c r="GO339" s="133"/>
      <c r="GP339" s="133"/>
      <c r="GQ339" s="133"/>
      <c r="GR339" s="133"/>
      <c r="GS339" s="133"/>
      <c r="GT339" s="133"/>
      <c r="GU339" s="133"/>
      <c r="GV339" s="133"/>
      <c r="GW339" s="133"/>
      <c r="GX339" s="133"/>
      <c r="GY339" s="133"/>
      <c r="GZ339" s="133"/>
      <c r="HA339" s="133"/>
      <c r="HB339" s="133"/>
      <c r="HC339" s="133"/>
      <c r="HD339" s="133"/>
      <c r="HE339" s="133"/>
      <c r="HF339" s="133"/>
      <c r="HG339" s="133"/>
      <c r="HH339" s="133"/>
      <c r="HI339" s="133"/>
      <c r="HJ339" s="133"/>
      <c r="HK339" s="133"/>
      <c r="HL339" s="133"/>
      <c r="HM339" s="133"/>
      <c r="HN339" s="133"/>
      <c r="HO339" s="133"/>
      <c r="HP339" s="133"/>
      <c r="HQ339" s="133"/>
      <c r="HR339" s="133"/>
      <c r="HS339" s="133"/>
      <c r="HT339" s="133"/>
      <c r="HU339" s="133"/>
      <c r="HV339" s="133"/>
      <c r="HW339" s="133"/>
      <c r="HX339" s="133"/>
      <c r="HY339" s="133"/>
      <c r="HZ339" s="133"/>
      <c r="IA339" s="133"/>
      <c r="IB339" s="133"/>
      <c r="IC339" s="133"/>
      <c r="ID339" s="133"/>
      <c r="IE339" s="133"/>
      <c r="IF339" s="133"/>
      <c r="IG339" s="133"/>
      <c r="IH339" s="133"/>
      <c r="II339" s="133"/>
      <c r="IJ339" s="133"/>
      <c r="IK339" s="133"/>
      <c r="IL339" s="133"/>
      <c r="IM339" s="133"/>
      <c r="IN339" s="133"/>
      <c r="IO339" s="133"/>
      <c r="IP339" s="133"/>
      <c r="IQ339" s="133"/>
      <c r="IR339" s="133"/>
      <c r="IS339" s="133"/>
      <c r="IT339" s="133"/>
      <c r="IU339" s="133"/>
      <c r="IV339" s="133"/>
    </row>
    <row r="340" spans="1:256" s="132" customFormat="1" ht="13.8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GE340" s="133"/>
      <c r="GF340" s="133"/>
      <c r="GG340" s="133"/>
      <c r="GH340" s="133"/>
      <c r="GI340" s="133"/>
      <c r="GJ340" s="133"/>
      <c r="GK340" s="133"/>
      <c r="GL340" s="133"/>
      <c r="GM340" s="133"/>
      <c r="GN340" s="133"/>
      <c r="GO340" s="133"/>
      <c r="GP340" s="133"/>
      <c r="GQ340" s="133"/>
      <c r="GR340" s="133"/>
      <c r="GS340" s="133"/>
      <c r="GT340" s="133"/>
      <c r="GU340" s="133"/>
      <c r="GV340" s="133"/>
      <c r="GW340" s="133"/>
      <c r="GX340" s="133"/>
      <c r="GY340" s="133"/>
      <c r="GZ340" s="133"/>
      <c r="HA340" s="133"/>
      <c r="HB340" s="133"/>
      <c r="HC340" s="133"/>
      <c r="HD340" s="133"/>
      <c r="HE340" s="133"/>
      <c r="HF340" s="133"/>
      <c r="HG340" s="133"/>
      <c r="HH340" s="133"/>
      <c r="HI340" s="133"/>
      <c r="HJ340" s="133"/>
      <c r="HK340" s="133"/>
      <c r="HL340" s="133"/>
      <c r="HM340" s="133"/>
      <c r="HN340" s="133"/>
      <c r="HO340" s="133"/>
      <c r="HP340" s="133"/>
      <c r="HQ340" s="133"/>
      <c r="HR340" s="133"/>
      <c r="HS340" s="133"/>
      <c r="HT340" s="133"/>
      <c r="HU340" s="133"/>
      <c r="HV340" s="133"/>
      <c r="HW340" s="133"/>
      <c r="HX340" s="133"/>
      <c r="HY340" s="133"/>
      <c r="HZ340" s="133"/>
      <c r="IA340" s="133"/>
      <c r="IB340" s="133"/>
      <c r="IC340" s="133"/>
      <c r="ID340" s="133"/>
      <c r="IE340" s="133"/>
      <c r="IF340" s="133"/>
      <c r="IG340" s="133"/>
      <c r="IH340" s="133"/>
      <c r="II340" s="133"/>
      <c r="IJ340" s="133"/>
      <c r="IK340" s="133"/>
      <c r="IL340" s="133"/>
      <c r="IM340" s="133"/>
      <c r="IN340" s="133"/>
      <c r="IO340" s="133"/>
      <c r="IP340" s="133"/>
      <c r="IQ340" s="133"/>
      <c r="IR340" s="133"/>
      <c r="IS340" s="133"/>
      <c r="IT340" s="133"/>
      <c r="IU340" s="133"/>
      <c r="IV340" s="133"/>
    </row>
    <row r="341" spans="1:256" s="132" customFormat="1" ht="13.8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GE341" s="133"/>
      <c r="GF341" s="133"/>
      <c r="GG341" s="133"/>
      <c r="GH341" s="133"/>
      <c r="GI341" s="133"/>
      <c r="GJ341" s="133"/>
      <c r="GK341" s="133"/>
      <c r="GL341" s="133"/>
      <c r="GM341" s="133"/>
      <c r="GN341" s="133"/>
      <c r="GO341" s="133"/>
      <c r="GP341" s="133"/>
      <c r="GQ341" s="133"/>
      <c r="GR341" s="133"/>
      <c r="GS341" s="133"/>
      <c r="GT341" s="133"/>
      <c r="GU341" s="133"/>
      <c r="GV341" s="133"/>
      <c r="GW341" s="133"/>
      <c r="GX341" s="133"/>
      <c r="GY341" s="133"/>
      <c r="GZ341" s="133"/>
      <c r="HA341" s="133"/>
      <c r="HB341" s="133"/>
      <c r="HC341" s="133"/>
      <c r="HD341" s="133"/>
      <c r="HE341" s="133"/>
      <c r="HF341" s="133"/>
      <c r="HG341" s="133"/>
      <c r="HH341" s="133"/>
      <c r="HI341" s="133"/>
      <c r="HJ341" s="133"/>
      <c r="HK341" s="133"/>
      <c r="HL341" s="133"/>
      <c r="HM341" s="133"/>
      <c r="HN341" s="133"/>
      <c r="HO341" s="133"/>
      <c r="HP341" s="133"/>
      <c r="HQ341" s="133"/>
      <c r="HR341" s="133"/>
      <c r="HS341" s="133"/>
      <c r="HT341" s="133"/>
      <c r="HU341" s="133"/>
      <c r="HV341" s="133"/>
      <c r="HW341" s="133"/>
      <c r="HX341" s="133"/>
      <c r="HY341" s="133"/>
      <c r="HZ341" s="133"/>
      <c r="IA341" s="133"/>
      <c r="IB341" s="133"/>
      <c r="IC341" s="133"/>
      <c r="ID341" s="133"/>
      <c r="IE341" s="133"/>
      <c r="IF341" s="133"/>
      <c r="IG341" s="133"/>
      <c r="IH341" s="133"/>
      <c r="II341" s="133"/>
      <c r="IJ341" s="133"/>
      <c r="IK341" s="133"/>
      <c r="IL341" s="133"/>
      <c r="IM341" s="133"/>
      <c r="IN341" s="133"/>
      <c r="IO341" s="133"/>
      <c r="IP341" s="133"/>
      <c r="IQ341" s="133"/>
      <c r="IR341" s="133"/>
      <c r="IS341" s="133"/>
      <c r="IT341" s="133"/>
      <c r="IU341" s="133"/>
      <c r="IV341" s="133"/>
    </row>
    <row r="342" spans="1:256" s="132" customFormat="1" ht="13.8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GE342" s="133"/>
      <c r="GF342" s="133"/>
      <c r="GG342" s="133"/>
      <c r="GH342" s="133"/>
      <c r="GI342" s="133"/>
      <c r="GJ342" s="133"/>
      <c r="GK342" s="133"/>
      <c r="GL342" s="133"/>
      <c r="GM342" s="133"/>
      <c r="GN342" s="133"/>
      <c r="GO342" s="133"/>
      <c r="GP342" s="133"/>
      <c r="GQ342" s="133"/>
      <c r="GR342" s="133"/>
      <c r="GS342" s="133"/>
      <c r="GT342" s="133"/>
      <c r="GU342" s="133"/>
      <c r="GV342" s="133"/>
      <c r="GW342" s="133"/>
      <c r="GX342" s="133"/>
      <c r="GY342" s="133"/>
      <c r="GZ342" s="133"/>
      <c r="HA342" s="133"/>
      <c r="HB342" s="133"/>
      <c r="HC342" s="133"/>
      <c r="HD342" s="133"/>
      <c r="HE342" s="133"/>
      <c r="HF342" s="133"/>
      <c r="HG342" s="133"/>
      <c r="HH342" s="133"/>
      <c r="HI342" s="133"/>
      <c r="HJ342" s="133"/>
      <c r="HK342" s="133"/>
      <c r="HL342" s="133"/>
      <c r="HM342" s="133"/>
      <c r="HN342" s="133"/>
      <c r="HO342" s="133"/>
      <c r="HP342" s="133"/>
      <c r="HQ342" s="133"/>
      <c r="HR342" s="133"/>
      <c r="HS342" s="133"/>
      <c r="HT342" s="133"/>
      <c r="HU342" s="133"/>
      <c r="HV342" s="133"/>
      <c r="HW342" s="133"/>
      <c r="HX342" s="133"/>
      <c r="HY342" s="133"/>
      <c r="HZ342" s="133"/>
      <c r="IA342" s="133"/>
      <c r="IB342" s="133"/>
      <c r="IC342" s="133"/>
      <c r="ID342" s="133"/>
      <c r="IE342" s="133"/>
      <c r="IF342" s="133"/>
      <c r="IG342" s="133"/>
      <c r="IH342" s="133"/>
      <c r="II342" s="133"/>
      <c r="IJ342" s="133"/>
      <c r="IK342" s="133"/>
      <c r="IL342" s="133"/>
      <c r="IM342" s="133"/>
      <c r="IN342" s="133"/>
      <c r="IO342" s="133"/>
      <c r="IP342" s="133"/>
      <c r="IQ342" s="133"/>
      <c r="IR342" s="133"/>
      <c r="IS342" s="133"/>
      <c r="IT342" s="133"/>
      <c r="IU342" s="133"/>
      <c r="IV342" s="133"/>
    </row>
    <row r="343" spans="1:256" s="132" customFormat="1" ht="13.8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GE343" s="133"/>
      <c r="GF343" s="133"/>
      <c r="GG343" s="133"/>
      <c r="GH343" s="133"/>
      <c r="GI343" s="133"/>
      <c r="GJ343" s="133"/>
      <c r="GK343" s="133"/>
      <c r="GL343" s="133"/>
      <c r="GM343" s="133"/>
      <c r="GN343" s="133"/>
      <c r="GO343" s="133"/>
      <c r="GP343" s="133"/>
      <c r="GQ343" s="133"/>
      <c r="GR343" s="133"/>
      <c r="GS343" s="133"/>
      <c r="GT343" s="133"/>
      <c r="GU343" s="133"/>
      <c r="GV343" s="133"/>
      <c r="GW343" s="133"/>
      <c r="GX343" s="133"/>
      <c r="GY343" s="133"/>
      <c r="GZ343" s="133"/>
      <c r="HA343" s="133"/>
      <c r="HB343" s="133"/>
      <c r="HC343" s="133"/>
      <c r="HD343" s="133"/>
      <c r="HE343" s="133"/>
      <c r="HF343" s="133"/>
      <c r="HG343" s="133"/>
      <c r="HH343" s="133"/>
      <c r="HI343" s="133"/>
      <c r="HJ343" s="133"/>
      <c r="HK343" s="133"/>
      <c r="HL343" s="133"/>
      <c r="HM343" s="133"/>
      <c r="HN343" s="133"/>
      <c r="HO343" s="133"/>
      <c r="HP343" s="133"/>
      <c r="HQ343" s="133"/>
      <c r="HR343" s="133"/>
      <c r="HS343" s="133"/>
      <c r="HT343" s="133"/>
      <c r="HU343" s="133"/>
      <c r="HV343" s="133"/>
      <c r="HW343" s="133"/>
      <c r="HX343" s="133"/>
      <c r="HY343" s="133"/>
      <c r="HZ343" s="133"/>
      <c r="IA343" s="133"/>
      <c r="IB343" s="133"/>
      <c r="IC343" s="133"/>
      <c r="ID343" s="133"/>
      <c r="IE343" s="133"/>
      <c r="IF343" s="133"/>
      <c r="IG343" s="133"/>
      <c r="IH343" s="133"/>
      <c r="II343" s="133"/>
      <c r="IJ343" s="133"/>
      <c r="IK343" s="133"/>
      <c r="IL343" s="133"/>
      <c r="IM343" s="133"/>
      <c r="IN343" s="133"/>
      <c r="IO343" s="133"/>
      <c r="IP343" s="133"/>
      <c r="IQ343" s="133"/>
      <c r="IR343" s="133"/>
      <c r="IS343" s="133"/>
      <c r="IT343" s="133"/>
      <c r="IU343" s="133"/>
      <c r="IV343" s="133"/>
    </row>
    <row r="344" spans="1:256" s="132" customFormat="1" ht="13.8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GE344" s="133"/>
      <c r="GF344" s="133"/>
      <c r="GG344" s="133"/>
      <c r="GH344" s="133"/>
      <c r="GI344" s="133"/>
      <c r="GJ344" s="133"/>
      <c r="GK344" s="133"/>
      <c r="GL344" s="133"/>
      <c r="GM344" s="133"/>
      <c r="GN344" s="133"/>
      <c r="GO344" s="133"/>
      <c r="GP344" s="133"/>
      <c r="GQ344" s="133"/>
      <c r="GR344" s="133"/>
      <c r="GS344" s="133"/>
      <c r="GT344" s="133"/>
      <c r="GU344" s="133"/>
      <c r="GV344" s="133"/>
      <c r="GW344" s="133"/>
      <c r="GX344" s="133"/>
      <c r="GY344" s="133"/>
      <c r="GZ344" s="133"/>
      <c r="HA344" s="133"/>
      <c r="HB344" s="133"/>
      <c r="HC344" s="133"/>
      <c r="HD344" s="133"/>
      <c r="HE344" s="133"/>
      <c r="HF344" s="133"/>
      <c r="HG344" s="133"/>
      <c r="HH344" s="133"/>
      <c r="HI344" s="133"/>
      <c r="HJ344" s="133"/>
      <c r="HK344" s="133"/>
      <c r="HL344" s="133"/>
      <c r="HM344" s="133"/>
      <c r="HN344" s="133"/>
      <c r="HO344" s="133"/>
      <c r="HP344" s="133"/>
      <c r="HQ344" s="133"/>
      <c r="HR344" s="133"/>
      <c r="HS344" s="133"/>
      <c r="HT344" s="133"/>
      <c r="HU344" s="133"/>
      <c r="HV344" s="133"/>
      <c r="HW344" s="133"/>
      <c r="HX344" s="133"/>
      <c r="HY344" s="133"/>
      <c r="HZ344" s="133"/>
      <c r="IA344" s="133"/>
      <c r="IB344" s="133"/>
      <c r="IC344" s="133"/>
      <c r="ID344" s="133"/>
      <c r="IE344" s="133"/>
      <c r="IF344" s="133"/>
      <c r="IG344" s="133"/>
      <c r="IH344" s="133"/>
      <c r="II344" s="133"/>
      <c r="IJ344" s="133"/>
      <c r="IK344" s="133"/>
      <c r="IL344" s="133"/>
      <c r="IM344" s="133"/>
      <c r="IN344" s="133"/>
      <c r="IO344" s="133"/>
      <c r="IP344" s="133"/>
      <c r="IQ344" s="133"/>
      <c r="IR344" s="133"/>
      <c r="IS344" s="133"/>
      <c r="IT344" s="133"/>
      <c r="IU344" s="133"/>
      <c r="IV344" s="133"/>
    </row>
    <row r="345" spans="1:256" s="132" customFormat="1" ht="13.8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GE345" s="133"/>
      <c r="GF345" s="133"/>
      <c r="GG345" s="133"/>
      <c r="GH345" s="133"/>
      <c r="GI345" s="133"/>
      <c r="GJ345" s="133"/>
      <c r="GK345" s="133"/>
      <c r="GL345" s="133"/>
      <c r="GM345" s="133"/>
      <c r="GN345" s="133"/>
      <c r="GO345" s="133"/>
      <c r="GP345" s="133"/>
      <c r="GQ345" s="133"/>
      <c r="GR345" s="133"/>
      <c r="GS345" s="133"/>
      <c r="GT345" s="133"/>
      <c r="GU345" s="133"/>
      <c r="GV345" s="133"/>
      <c r="GW345" s="133"/>
      <c r="GX345" s="133"/>
      <c r="GY345" s="133"/>
      <c r="GZ345" s="133"/>
      <c r="HA345" s="133"/>
      <c r="HB345" s="133"/>
      <c r="HC345" s="133"/>
      <c r="HD345" s="133"/>
      <c r="HE345" s="133"/>
      <c r="HF345" s="133"/>
      <c r="HG345" s="133"/>
      <c r="HH345" s="133"/>
      <c r="HI345" s="133"/>
      <c r="HJ345" s="133"/>
      <c r="HK345" s="133"/>
      <c r="HL345" s="133"/>
      <c r="HM345" s="133"/>
      <c r="HN345" s="133"/>
      <c r="HO345" s="133"/>
      <c r="HP345" s="133"/>
      <c r="HQ345" s="133"/>
      <c r="HR345" s="133"/>
      <c r="HS345" s="133"/>
      <c r="HT345" s="133"/>
      <c r="HU345" s="133"/>
      <c r="HV345" s="133"/>
      <c r="HW345" s="133"/>
      <c r="HX345" s="133"/>
      <c r="HY345" s="133"/>
      <c r="HZ345" s="133"/>
      <c r="IA345" s="133"/>
      <c r="IB345" s="133"/>
      <c r="IC345" s="133"/>
      <c r="ID345" s="133"/>
      <c r="IE345" s="133"/>
      <c r="IF345" s="133"/>
      <c r="IG345" s="133"/>
      <c r="IH345" s="133"/>
      <c r="II345" s="133"/>
      <c r="IJ345" s="133"/>
      <c r="IK345" s="133"/>
      <c r="IL345" s="133"/>
      <c r="IM345" s="133"/>
      <c r="IN345" s="133"/>
      <c r="IO345" s="133"/>
      <c r="IP345" s="133"/>
      <c r="IQ345" s="133"/>
      <c r="IR345" s="133"/>
      <c r="IS345" s="133"/>
      <c r="IT345" s="133"/>
      <c r="IU345" s="133"/>
      <c r="IV345" s="133"/>
    </row>
    <row r="346" spans="1:256" s="132" customFormat="1" ht="13.8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GE346" s="133"/>
      <c r="GF346" s="133"/>
      <c r="GG346" s="133"/>
      <c r="GH346" s="133"/>
      <c r="GI346" s="133"/>
      <c r="GJ346" s="133"/>
      <c r="GK346" s="133"/>
      <c r="GL346" s="133"/>
      <c r="GM346" s="133"/>
      <c r="GN346" s="133"/>
      <c r="GO346" s="133"/>
      <c r="GP346" s="133"/>
      <c r="GQ346" s="133"/>
      <c r="GR346" s="133"/>
      <c r="GS346" s="133"/>
      <c r="GT346" s="133"/>
      <c r="GU346" s="133"/>
      <c r="GV346" s="133"/>
      <c r="GW346" s="133"/>
      <c r="GX346" s="133"/>
      <c r="GY346" s="133"/>
      <c r="GZ346" s="133"/>
      <c r="HA346" s="133"/>
      <c r="HB346" s="133"/>
      <c r="HC346" s="133"/>
      <c r="HD346" s="133"/>
      <c r="HE346" s="133"/>
      <c r="HF346" s="133"/>
      <c r="HG346" s="133"/>
      <c r="HH346" s="133"/>
      <c r="HI346" s="133"/>
      <c r="HJ346" s="133"/>
      <c r="HK346" s="133"/>
      <c r="HL346" s="133"/>
      <c r="HM346" s="133"/>
      <c r="HN346" s="133"/>
      <c r="HO346" s="133"/>
      <c r="HP346" s="133"/>
      <c r="HQ346" s="133"/>
      <c r="HR346" s="133"/>
      <c r="HS346" s="133"/>
      <c r="HT346" s="133"/>
      <c r="HU346" s="133"/>
      <c r="HV346" s="133"/>
      <c r="HW346" s="133"/>
      <c r="HX346" s="133"/>
      <c r="HY346" s="133"/>
      <c r="HZ346" s="133"/>
      <c r="IA346" s="133"/>
      <c r="IB346" s="133"/>
      <c r="IC346" s="133"/>
      <c r="ID346" s="133"/>
      <c r="IE346" s="133"/>
      <c r="IF346" s="133"/>
      <c r="IG346" s="133"/>
      <c r="IH346" s="133"/>
      <c r="II346" s="133"/>
      <c r="IJ346" s="133"/>
      <c r="IK346" s="133"/>
      <c r="IL346" s="133"/>
      <c r="IM346" s="133"/>
      <c r="IN346" s="133"/>
      <c r="IO346" s="133"/>
      <c r="IP346" s="133"/>
      <c r="IQ346" s="133"/>
      <c r="IR346" s="133"/>
      <c r="IS346" s="133"/>
      <c r="IT346" s="133"/>
      <c r="IU346" s="133"/>
      <c r="IV346" s="133"/>
    </row>
    <row r="347" spans="1:256" s="132" customFormat="1" ht="13.8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GE347" s="133"/>
      <c r="GF347" s="133"/>
      <c r="GG347" s="133"/>
      <c r="GH347" s="133"/>
      <c r="GI347" s="133"/>
      <c r="GJ347" s="133"/>
      <c r="GK347" s="133"/>
      <c r="GL347" s="133"/>
      <c r="GM347" s="133"/>
      <c r="GN347" s="133"/>
      <c r="GO347" s="133"/>
      <c r="GP347" s="133"/>
      <c r="GQ347" s="133"/>
      <c r="GR347" s="133"/>
      <c r="GS347" s="133"/>
      <c r="GT347" s="133"/>
      <c r="GU347" s="133"/>
      <c r="GV347" s="133"/>
      <c r="GW347" s="133"/>
      <c r="GX347" s="133"/>
      <c r="GY347" s="133"/>
      <c r="GZ347" s="133"/>
      <c r="HA347" s="133"/>
      <c r="HB347" s="133"/>
      <c r="HC347" s="133"/>
      <c r="HD347" s="133"/>
      <c r="HE347" s="133"/>
      <c r="HF347" s="133"/>
      <c r="HG347" s="133"/>
      <c r="HH347" s="133"/>
      <c r="HI347" s="133"/>
      <c r="HJ347" s="133"/>
      <c r="HK347" s="133"/>
      <c r="HL347" s="133"/>
      <c r="HM347" s="133"/>
      <c r="HN347" s="133"/>
      <c r="HO347" s="133"/>
      <c r="HP347" s="133"/>
      <c r="HQ347" s="133"/>
      <c r="HR347" s="133"/>
      <c r="HS347" s="133"/>
      <c r="HT347" s="133"/>
      <c r="HU347" s="133"/>
      <c r="HV347" s="133"/>
      <c r="HW347" s="133"/>
      <c r="HX347" s="133"/>
      <c r="HY347" s="133"/>
      <c r="HZ347" s="133"/>
      <c r="IA347" s="133"/>
      <c r="IB347" s="133"/>
      <c r="IC347" s="133"/>
      <c r="ID347" s="133"/>
      <c r="IE347" s="133"/>
      <c r="IF347" s="133"/>
      <c r="IG347" s="133"/>
      <c r="IH347" s="133"/>
      <c r="II347" s="133"/>
      <c r="IJ347" s="133"/>
      <c r="IK347" s="133"/>
      <c r="IL347" s="133"/>
      <c r="IM347" s="133"/>
      <c r="IN347" s="133"/>
      <c r="IO347" s="133"/>
      <c r="IP347" s="133"/>
      <c r="IQ347" s="133"/>
      <c r="IR347" s="133"/>
      <c r="IS347" s="133"/>
      <c r="IT347" s="133"/>
      <c r="IU347" s="133"/>
      <c r="IV347" s="133"/>
    </row>
    <row r="348" spans="1:256" s="132" customFormat="1" ht="13.8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GE348" s="133"/>
      <c r="GF348" s="133"/>
      <c r="GG348" s="133"/>
      <c r="GH348" s="133"/>
      <c r="GI348" s="133"/>
      <c r="GJ348" s="133"/>
      <c r="GK348" s="133"/>
      <c r="GL348" s="133"/>
      <c r="GM348" s="133"/>
      <c r="GN348" s="133"/>
      <c r="GO348" s="133"/>
      <c r="GP348" s="133"/>
      <c r="GQ348" s="133"/>
      <c r="GR348" s="133"/>
      <c r="GS348" s="133"/>
      <c r="GT348" s="133"/>
      <c r="GU348" s="133"/>
      <c r="GV348" s="133"/>
      <c r="GW348" s="133"/>
      <c r="GX348" s="133"/>
      <c r="GY348" s="133"/>
      <c r="GZ348" s="133"/>
      <c r="HA348" s="133"/>
      <c r="HB348" s="133"/>
      <c r="HC348" s="133"/>
      <c r="HD348" s="133"/>
      <c r="HE348" s="133"/>
      <c r="HF348" s="133"/>
      <c r="HG348" s="133"/>
      <c r="HH348" s="133"/>
      <c r="HI348" s="133"/>
      <c r="HJ348" s="133"/>
      <c r="HK348" s="133"/>
      <c r="HL348" s="133"/>
      <c r="HM348" s="133"/>
      <c r="HN348" s="133"/>
      <c r="HO348" s="133"/>
      <c r="HP348" s="133"/>
      <c r="HQ348" s="133"/>
      <c r="HR348" s="133"/>
      <c r="HS348" s="133"/>
      <c r="HT348" s="133"/>
      <c r="HU348" s="133"/>
      <c r="HV348" s="133"/>
      <c r="HW348" s="133"/>
      <c r="HX348" s="133"/>
      <c r="HY348" s="133"/>
      <c r="HZ348" s="133"/>
      <c r="IA348" s="133"/>
      <c r="IB348" s="133"/>
      <c r="IC348" s="133"/>
      <c r="ID348" s="133"/>
      <c r="IE348" s="133"/>
      <c r="IF348" s="133"/>
      <c r="IG348" s="133"/>
      <c r="IH348" s="133"/>
      <c r="II348" s="133"/>
      <c r="IJ348" s="133"/>
      <c r="IK348" s="133"/>
      <c r="IL348" s="133"/>
      <c r="IM348" s="133"/>
      <c r="IN348" s="133"/>
      <c r="IO348" s="133"/>
      <c r="IP348" s="133"/>
      <c r="IQ348" s="133"/>
      <c r="IR348" s="133"/>
      <c r="IS348" s="133"/>
      <c r="IT348" s="133"/>
      <c r="IU348" s="133"/>
      <c r="IV348" s="133"/>
    </row>
    <row r="349" spans="1:256" s="132" customFormat="1" ht="13.8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GE349" s="133"/>
      <c r="GF349" s="133"/>
      <c r="GG349" s="133"/>
      <c r="GH349" s="133"/>
      <c r="GI349" s="133"/>
      <c r="GJ349" s="133"/>
      <c r="GK349" s="133"/>
      <c r="GL349" s="133"/>
      <c r="GM349" s="133"/>
      <c r="GN349" s="133"/>
      <c r="GO349" s="133"/>
      <c r="GP349" s="133"/>
      <c r="GQ349" s="133"/>
      <c r="GR349" s="133"/>
      <c r="GS349" s="133"/>
      <c r="GT349" s="133"/>
      <c r="GU349" s="133"/>
      <c r="GV349" s="133"/>
      <c r="GW349" s="133"/>
      <c r="GX349" s="133"/>
      <c r="GY349" s="133"/>
      <c r="GZ349" s="133"/>
      <c r="HA349" s="133"/>
      <c r="HB349" s="133"/>
      <c r="HC349" s="133"/>
      <c r="HD349" s="133"/>
      <c r="HE349" s="133"/>
      <c r="HF349" s="133"/>
      <c r="HG349" s="133"/>
      <c r="HH349" s="133"/>
      <c r="HI349" s="133"/>
      <c r="HJ349" s="133"/>
      <c r="HK349" s="133"/>
      <c r="HL349" s="133"/>
      <c r="HM349" s="133"/>
      <c r="HN349" s="133"/>
      <c r="HO349" s="133"/>
      <c r="HP349" s="133"/>
      <c r="HQ349" s="133"/>
      <c r="HR349" s="133"/>
      <c r="HS349" s="133"/>
      <c r="HT349" s="133"/>
      <c r="HU349" s="133"/>
      <c r="HV349" s="133"/>
      <c r="HW349" s="133"/>
      <c r="HX349" s="133"/>
      <c r="HY349" s="133"/>
      <c r="HZ349" s="133"/>
      <c r="IA349" s="133"/>
      <c r="IB349" s="133"/>
      <c r="IC349" s="133"/>
      <c r="ID349" s="133"/>
      <c r="IE349" s="133"/>
      <c r="IF349" s="133"/>
      <c r="IG349" s="133"/>
      <c r="IH349" s="133"/>
      <c r="II349" s="133"/>
      <c r="IJ349" s="133"/>
      <c r="IK349" s="133"/>
      <c r="IL349" s="133"/>
      <c r="IM349" s="133"/>
      <c r="IN349" s="133"/>
      <c r="IO349" s="133"/>
      <c r="IP349" s="133"/>
      <c r="IQ349" s="133"/>
      <c r="IR349" s="133"/>
      <c r="IS349" s="133"/>
      <c r="IT349" s="133"/>
      <c r="IU349" s="133"/>
      <c r="IV349" s="133"/>
    </row>
    <row r="350" spans="1:256" s="132" customFormat="1" ht="13.8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GE350" s="133"/>
      <c r="GF350" s="133"/>
      <c r="GG350" s="133"/>
      <c r="GH350" s="133"/>
      <c r="GI350" s="133"/>
      <c r="GJ350" s="133"/>
      <c r="GK350" s="133"/>
      <c r="GL350" s="133"/>
      <c r="GM350" s="133"/>
      <c r="GN350" s="133"/>
      <c r="GO350" s="133"/>
      <c r="GP350" s="133"/>
      <c r="GQ350" s="133"/>
      <c r="GR350" s="133"/>
      <c r="GS350" s="133"/>
      <c r="GT350" s="133"/>
      <c r="GU350" s="133"/>
      <c r="GV350" s="133"/>
      <c r="GW350" s="133"/>
      <c r="GX350" s="133"/>
      <c r="GY350" s="133"/>
      <c r="GZ350" s="133"/>
      <c r="HA350" s="133"/>
      <c r="HB350" s="133"/>
      <c r="HC350" s="133"/>
      <c r="HD350" s="133"/>
      <c r="HE350" s="133"/>
      <c r="HF350" s="133"/>
      <c r="HG350" s="133"/>
      <c r="HH350" s="133"/>
      <c r="HI350" s="133"/>
      <c r="HJ350" s="133"/>
      <c r="HK350" s="133"/>
      <c r="HL350" s="133"/>
      <c r="HM350" s="133"/>
      <c r="HN350" s="133"/>
      <c r="HO350" s="133"/>
      <c r="HP350" s="133"/>
      <c r="HQ350" s="133"/>
      <c r="HR350" s="133"/>
      <c r="HS350" s="133"/>
      <c r="HT350" s="133"/>
      <c r="HU350" s="133"/>
      <c r="HV350" s="133"/>
      <c r="HW350" s="133"/>
      <c r="HX350" s="133"/>
      <c r="HY350" s="133"/>
      <c r="HZ350" s="133"/>
      <c r="IA350" s="133"/>
      <c r="IB350" s="133"/>
      <c r="IC350" s="133"/>
      <c r="ID350" s="133"/>
      <c r="IE350" s="133"/>
      <c r="IF350" s="133"/>
      <c r="IG350" s="133"/>
      <c r="IH350" s="133"/>
      <c r="II350" s="133"/>
      <c r="IJ350" s="133"/>
      <c r="IK350" s="133"/>
      <c r="IL350" s="133"/>
      <c r="IM350" s="133"/>
      <c r="IN350" s="133"/>
      <c r="IO350" s="133"/>
      <c r="IP350" s="133"/>
      <c r="IQ350" s="133"/>
      <c r="IR350" s="133"/>
      <c r="IS350" s="133"/>
      <c r="IT350" s="133"/>
      <c r="IU350" s="133"/>
      <c r="IV350" s="133"/>
    </row>
    <row r="351" spans="1:256" s="132" customFormat="1" ht="13.8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GE351" s="133"/>
      <c r="GF351" s="133"/>
      <c r="GG351" s="133"/>
      <c r="GH351" s="133"/>
      <c r="GI351" s="133"/>
      <c r="GJ351" s="133"/>
      <c r="GK351" s="133"/>
      <c r="GL351" s="133"/>
      <c r="GM351" s="133"/>
      <c r="GN351" s="133"/>
      <c r="GO351" s="133"/>
      <c r="GP351" s="133"/>
      <c r="GQ351" s="133"/>
      <c r="GR351" s="133"/>
      <c r="GS351" s="133"/>
      <c r="GT351" s="133"/>
      <c r="GU351" s="133"/>
      <c r="GV351" s="133"/>
      <c r="GW351" s="133"/>
      <c r="GX351" s="133"/>
      <c r="GY351" s="133"/>
      <c r="GZ351" s="133"/>
      <c r="HA351" s="133"/>
      <c r="HB351" s="133"/>
      <c r="HC351" s="133"/>
      <c r="HD351" s="133"/>
      <c r="HE351" s="133"/>
      <c r="HF351" s="133"/>
      <c r="HG351" s="133"/>
      <c r="HH351" s="133"/>
      <c r="HI351" s="133"/>
      <c r="HJ351" s="133"/>
      <c r="HK351" s="133"/>
      <c r="HL351" s="133"/>
      <c r="HM351" s="133"/>
      <c r="HN351" s="133"/>
      <c r="HO351" s="133"/>
      <c r="HP351" s="133"/>
      <c r="HQ351" s="133"/>
      <c r="HR351" s="133"/>
      <c r="HS351" s="133"/>
      <c r="HT351" s="133"/>
      <c r="HU351" s="133"/>
      <c r="HV351" s="133"/>
      <c r="HW351" s="133"/>
      <c r="HX351" s="133"/>
      <c r="HY351" s="133"/>
      <c r="HZ351" s="133"/>
      <c r="IA351" s="133"/>
      <c r="IB351" s="133"/>
      <c r="IC351" s="133"/>
      <c r="ID351" s="133"/>
      <c r="IE351" s="133"/>
      <c r="IF351" s="133"/>
      <c r="IG351" s="133"/>
      <c r="IH351" s="133"/>
      <c r="II351" s="133"/>
      <c r="IJ351" s="133"/>
      <c r="IK351" s="133"/>
      <c r="IL351" s="133"/>
      <c r="IM351" s="133"/>
      <c r="IN351" s="133"/>
      <c r="IO351" s="133"/>
      <c r="IP351" s="133"/>
      <c r="IQ351" s="133"/>
      <c r="IR351" s="133"/>
      <c r="IS351" s="133"/>
      <c r="IT351" s="133"/>
      <c r="IU351" s="133"/>
      <c r="IV351" s="133"/>
    </row>
    <row r="352" spans="1:256" s="132" customFormat="1" ht="13.8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GE352" s="133"/>
      <c r="GF352" s="133"/>
      <c r="GG352" s="133"/>
      <c r="GH352" s="133"/>
      <c r="GI352" s="133"/>
      <c r="GJ352" s="133"/>
      <c r="GK352" s="133"/>
      <c r="GL352" s="133"/>
      <c r="GM352" s="133"/>
      <c r="GN352" s="133"/>
      <c r="GO352" s="133"/>
      <c r="GP352" s="133"/>
      <c r="GQ352" s="133"/>
      <c r="GR352" s="133"/>
      <c r="GS352" s="133"/>
      <c r="GT352" s="133"/>
      <c r="GU352" s="133"/>
      <c r="GV352" s="133"/>
      <c r="GW352" s="133"/>
      <c r="GX352" s="133"/>
      <c r="GY352" s="133"/>
      <c r="GZ352" s="133"/>
      <c r="HA352" s="133"/>
      <c r="HB352" s="133"/>
      <c r="HC352" s="133"/>
      <c r="HD352" s="133"/>
      <c r="HE352" s="133"/>
      <c r="HF352" s="133"/>
      <c r="HG352" s="133"/>
      <c r="HH352" s="133"/>
      <c r="HI352" s="133"/>
      <c r="HJ352" s="133"/>
      <c r="HK352" s="133"/>
      <c r="HL352" s="133"/>
      <c r="HM352" s="133"/>
      <c r="HN352" s="133"/>
      <c r="HO352" s="133"/>
      <c r="HP352" s="133"/>
      <c r="HQ352" s="133"/>
      <c r="HR352" s="133"/>
      <c r="HS352" s="133"/>
      <c r="HT352" s="133"/>
      <c r="HU352" s="133"/>
      <c r="HV352" s="133"/>
      <c r="HW352" s="133"/>
      <c r="HX352" s="133"/>
      <c r="HY352" s="133"/>
      <c r="HZ352" s="133"/>
      <c r="IA352" s="133"/>
      <c r="IB352" s="133"/>
      <c r="IC352" s="133"/>
      <c r="ID352" s="133"/>
      <c r="IE352" s="133"/>
      <c r="IF352" s="133"/>
      <c r="IG352" s="133"/>
      <c r="IH352" s="133"/>
      <c r="II352" s="133"/>
      <c r="IJ352" s="133"/>
      <c r="IK352" s="133"/>
      <c r="IL352" s="133"/>
      <c r="IM352" s="133"/>
      <c r="IN352" s="133"/>
      <c r="IO352" s="133"/>
      <c r="IP352" s="133"/>
      <c r="IQ352" s="133"/>
      <c r="IR352" s="133"/>
      <c r="IS352" s="133"/>
      <c r="IT352" s="133"/>
      <c r="IU352" s="133"/>
      <c r="IV352" s="133"/>
    </row>
    <row r="353" spans="1:256" s="132" customFormat="1" ht="13.8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GE353" s="133"/>
      <c r="GF353" s="133"/>
      <c r="GG353" s="133"/>
      <c r="GH353" s="133"/>
      <c r="GI353" s="133"/>
      <c r="GJ353" s="133"/>
      <c r="GK353" s="133"/>
      <c r="GL353" s="133"/>
      <c r="GM353" s="133"/>
      <c r="GN353" s="133"/>
      <c r="GO353" s="133"/>
      <c r="GP353" s="133"/>
      <c r="GQ353" s="133"/>
      <c r="GR353" s="133"/>
      <c r="GS353" s="133"/>
      <c r="GT353" s="133"/>
      <c r="GU353" s="133"/>
      <c r="GV353" s="133"/>
      <c r="GW353" s="133"/>
      <c r="GX353" s="133"/>
      <c r="GY353" s="133"/>
      <c r="GZ353" s="133"/>
      <c r="HA353" s="133"/>
      <c r="HB353" s="133"/>
      <c r="HC353" s="133"/>
      <c r="HD353" s="133"/>
      <c r="HE353" s="133"/>
      <c r="HF353" s="133"/>
      <c r="HG353" s="133"/>
      <c r="HH353" s="133"/>
      <c r="HI353" s="133"/>
      <c r="HJ353" s="133"/>
      <c r="HK353" s="133"/>
      <c r="HL353" s="133"/>
      <c r="HM353" s="133"/>
      <c r="HN353" s="133"/>
      <c r="HO353" s="133"/>
      <c r="HP353" s="133"/>
      <c r="HQ353" s="133"/>
      <c r="HR353" s="133"/>
      <c r="HS353" s="133"/>
      <c r="HT353" s="133"/>
      <c r="HU353" s="133"/>
      <c r="HV353" s="133"/>
      <c r="HW353" s="133"/>
      <c r="HX353" s="133"/>
      <c r="HY353" s="133"/>
      <c r="HZ353" s="133"/>
      <c r="IA353" s="133"/>
      <c r="IB353" s="133"/>
      <c r="IC353" s="133"/>
      <c r="ID353" s="133"/>
      <c r="IE353" s="133"/>
      <c r="IF353" s="133"/>
      <c r="IG353" s="133"/>
      <c r="IH353" s="133"/>
      <c r="II353" s="133"/>
      <c r="IJ353" s="133"/>
      <c r="IK353" s="133"/>
      <c r="IL353" s="133"/>
      <c r="IM353" s="133"/>
      <c r="IN353" s="133"/>
      <c r="IO353" s="133"/>
      <c r="IP353" s="133"/>
      <c r="IQ353" s="133"/>
      <c r="IR353" s="133"/>
      <c r="IS353" s="133"/>
      <c r="IT353" s="133"/>
      <c r="IU353" s="133"/>
      <c r="IV353" s="133"/>
    </row>
    <row r="354" spans="1:256" s="132" customFormat="1" ht="13.8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GE354" s="133"/>
      <c r="GF354" s="133"/>
      <c r="GG354" s="133"/>
      <c r="GH354" s="133"/>
      <c r="GI354" s="133"/>
      <c r="GJ354" s="133"/>
      <c r="GK354" s="133"/>
      <c r="GL354" s="133"/>
      <c r="GM354" s="133"/>
      <c r="GN354" s="133"/>
      <c r="GO354" s="133"/>
      <c r="GP354" s="133"/>
      <c r="GQ354" s="133"/>
      <c r="GR354" s="133"/>
      <c r="GS354" s="133"/>
      <c r="GT354" s="133"/>
      <c r="GU354" s="133"/>
      <c r="GV354" s="133"/>
      <c r="GW354" s="133"/>
      <c r="GX354" s="133"/>
      <c r="GY354" s="133"/>
      <c r="GZ354" s="133"/>
      <c r="HA354" s="133"/>
      <c r="HB354" s="133"/>
      <c r="HC354" s="133"/>
      <c r="HD354" s="133"/>
      <c r="HE354" s="133"/>
      <c r="HF354" s="133"/>
      <c r="HG354" s="133"/>
      <c r="HH354" s="133"/>
      <c r="HI354" s="133"/>
      <c r="HJ354" s="133"/>
      <c r="HK354" s="133"/>
      <c r="HL354" s="133"/>
      <c r="HM354" s="133"/>
      <c r="HN354" s="133"/>
      <c r="HO354" s="133"/>
      <c r="HP354" s="133"/>
      <c r="HQ354" s="133"/>
      <c r="HR354" s="133"/>
      <c r="HS354" s="133"/>
      <c r="HT354" s="133"/>
      <c r="HU354" s="133"/>
      <c r="HV354" s="133"/>
      <c r="HW354" s="133"/>
      <c r="HX354" s="133"/>
      <c r="HY354" s="133"/>
      <c r="HZ354" s="133"/>
      <c r="IA354" s="133"/>
      <c r="IB354" s="133"/>
      <c r="IC354" s="133"/>
      <c r="ID354" s="133"/>
      <c r="IE354" s="133"/>
      <c r="IF354" s="133"/>
      <c r="IG354" s="133"/>
      <c r="IH354" s="133"/>
      <c r="II354" s="133"/>
      <c r="IJ354" s="133"/>
      <c r="IK354" s="133"/>
      <c r="IL354" s="133"/>
      <c r="IM354" s="133"/>
      <c r="IN354" s="133"/>
      <c r="IO354" s="133"/>
      <c r="IP354" s="133"/>
      <c r="IQ354" s="133"/>
      <c r="IR354" s="133"/>
      <c r="IS354" s="133"/>
      <c r="IT354" s="133"/>
      <c r="IU354" s="133"/>
      <c r="IV354" s="133"/>
    </row>
    <row r="355" spans="1:256" s="132" customFormat="1" ht="13.8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GE355" s="133"/>
      <c r="GF355" s="133"/>
      <c r="GG355" s="133"/>
      <c r="GH355" s="133"/>
      <c r="GI355" s="133"/>
      <c r="GJ355" s="133"/>
      <c r="GK355" s="133"/>
      <c r="GL355" s="133"/>
      <c r="GM355" s="133"/>
      <c r="GN355" s="133"/>
      <c r="GO355" s="133"/>
      <c r="GP355" s="133"/>
      <c r="GQ355" s="133"/>
      <c r="GR355" s="133"/>
      <c r="GS355" s="133"/>
      <c r="GT355" s="133"/>
      <c r="GU355" s="133"/>
      <c r="GV355" s="133"/>
      <c r="GW355" s="133"/>
      <c r="GX355" s="133"/>
      <c r="GY355" s="133"/>
      <c r="GZ355" s="133"/>
      <c r="HA355" s="133"/>
      <c r="HB355" s="133"/>
      <c r="HC355" s="133"/>
      <c r="HD355" s="133"/>
      <c r="HE355" s="133"/>
      <c r="HF355" s="133"/>
      <c r="HG355" s="133"/>
      <c r="HH355" s="133"/>
      <c r="HI355" s="133"/>
      <c r="HJ355" s="133"/>
      <c r="HK355" s="133"/>
      <c r="HL355" s="133"/>
      <c r="HM355" s="133"/>
      <c r="HN355" s="133"/>
      <c r="HO355" s="133"/>
      <c r="HP355" s="133"/>
      <c r="HQ355" s="133"/>
      <c r="HR355" s="133"/>
      <c r="HS355" s="133"/>
      <c r="HT355" s="133"/>
      <c r="HU355" s="133"/>
      <c r="HV355" s="133"/>
      <c r="HW355" s="133"/>
      <c r="HX355" s="133"/>
      <c r="HY355" s="133"/>
      <c r="HZ355" s="133"/>
      <c r="IA355" s="133"/>
      <c r="IB355" s="133"/>
      <c r="IC355" s="133"/>
      <c r="ID355" s="133"/>
      <c r="IE355" s="133"/>
      <c r="IF355" s="133"/>
      <c r="IG355" s="133"/>
      <c r="IH355" s="133"/>
      <c r="II355" s="133"/>
      <c r="IJ355" s="133"/>
      <c r="IK355" s="133"/>
      <c r="IL355" s="133"/>
      <c r="IM355" s="133"/>
      <c r="IN355" s="133"/>
      <c r="IO355" s="133"/>
      <c r="IP355" s="133"/>
      <c r="IQ355" s="133"/>
      <c r="IR355" s="133"/>
      <c r="IS355" s="133"/>
      <c r="IT355" s="133"/>
      <c r="IU355" s="133"/>
      <c r="IV355" s="133"/>
    </row>
    <row r="356" spans="1:256" s="132" customFormat="1" ht="13.8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GE356" s="133"/>
      <c r="GF356" s="133"/>
      <c r="GG356" s="133"/>
      <c r="GH356" s="133"/>
      <c r="GI356" s="133"/>
      <c r="GJ356" s="133"/>
      <c r="GK356" s="133"/>
      <c r="GL356" s="133"/>
      <c r="GM356" s="133"/>
      <c r="GN356" s="133"/>
      <c r="GO356" s="133"/>
      <c r="GP356" s="133"/>
      <c r="GQ356" s="133"/>
      <c r="GR356" s="133"/>
      <c r="GS356" s="133"/>
      <c r="GT356" s="133"/>
      <c r="GU356" s="133"/>
      <c r="GV356" s="133"/>
      <c r="GW356" s="133"/>
      <c r="GX356" s="133"/>
      <c r="GY356" s="133"/>
      <c r="GZ356" s="133"/>
      <c r="HA356" s="133"/>
      <c r="HB356" s="133"/>
      <c r="HC356" s="133"/>
      <c r="HD356" s="133"/>
      <c r="HE356" s="133"/>
      <c r="HF356" s="133"/>
      <c r="HG356" s="133"/>
      <c r="HH356" s="133"/>
      <c r="HI356" s="133"/>
      <c r="HJ356" s="133"/>
      <c r="HK356" s="133"/>
      <c r="HL356" s="133"/>
      <c r="HM356" s="133"/>
      <c r="HN356" s="133"/>
      <c r="HO356" s="133"/>
      <c r="HP356" s="133"/>
      <c r="HQ356" s="133"/>
      <c r="HR356" s="133"/>
      <c r="HS356" s="133"/>
      <c r="HT356" s="133"/>
      <c r="HU356" s="133"/>
      <c r="HV356" s="133"/>
      <c r="HW356" s="133"/>
      <c r="HX356" s="133"/>
      <c r="HY356" s="133"/>
      <c r="HZ356" s="133"/>
      <c r="IA356" s="133"/>
      <c r="IB356" s="133"/>
      <c r="IC356" s="133"/>
      <c r="ID356" s="133"/>
      <c r="IE356" s="133"/>
      <c r="IF356" s="133"/>
      <c r="IG356" s="133"/>
      <c r="IH356" s="133"/>
      <c r="II356" s="133"/>
      <c r="IJ356" s="133"/>
      <c r="IK356" s="133"/>
      <c r="IL356" s="133"/>
      <c r="IM356" s="133"/>
      <c r="IN356" s="133"/>
      <c r="IO356" s="133"/>
      <c r="IP356" s="133"/>
      <c r="IQ356" s="133"/>
      <c r="IR356" s="133"/>
      <c r="IS356" s="133"/>
      <c r="IT356" s="133"/>
      <c r="IU356" s="133"/>
      <c r="IV356" s="133"/>
    </row>
    <row r="357" spans="1:256" s="132" customFormat="1" ht="13.8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GE357" s="133"/>
      <c r="GF357" s="133"/>
      <c r="GG357" s="133"/>
      <c r="GH357" s="133"/>
      <c r="GI357" s="133"/>
      <c r="GJ357" s="133"/>
      <c r="GK357" s="133"/>
      <c r="GL357" s="133"/>
      <c r="GM357" s="133"/>
      <c r="GN357" s="133"/>
      <c r="GO357" s="133"/>
      <c r="GP357" s="133"/>
      <c r="GQ357" s="133"/>
      <c r="GR357" s="133"/>
      <c r="GS357" s="133"/>
      <c r="GT357" s="133"/>
      <c r="GU357" s="133"/>
      <c r="GV357" s="133"/>
      <c r="GW357" s="133"/>
      <c r="GX357" s="133"/>
      <c r="GY357" s="133"/>
      <c r="GZ357" s="133"/>
      <c r="HA357" s="133"/>
      <c r="HB357" s="133"/>
      <c r="HC357" s="133"/>
      <c r="HD357" s="133"/>
      <c r="HE357" s="133"/>
      <c r="HF357" s="133"/>
      <c r="HG357" s="133"/>
      <c r="HH357" s="133"/>
      <c r="HI357" s="133"/>
      <c r="HJ357" s="133"/>
      <c r="HK357" s="133"/>
      <c r="HL357" s="133"/>
      <c r="HM357" s="133"/>
      <c r="HN357" s="133"/>
      <c r="HO357" s="133"/>
      <c r="HP357" s="133"/>
      <c r="HQ357" s="133"/>
      <c r="HR357" s="133"/>
      <c r="HS357" s="133"/>
      <c r="HT357" s="133"/>
      <c r="HU357" s="133"/>
      <c r="HV357" s="133"/>
      <c r="HW357" s="133"/>
      <c r="HX357" s="133"/>
      <c r="HY357" s="133"/>
      <c r="HZ357" s="133"/>
      <c r="IA357" s="133"/>
      <c r="IB357" s="133"/>
      <c r="IC357" s="133"/>
      <c r="ID357" s="133"/>
      <c r="IE357" s="133"/>
      <c r="IF357" s="133"/>
      <c r="IG357" s="133"/>
      <c r="IH357" s="133"/>
      <c r="II357" s="133"/>
      <c r="IJ357" s="133"/>
      <c r="IK357" s="133"/>
      <c r="IL357" s="133"/>
      <c r="IM357" s="133"/>
      <c r="IN357" s="133"/>
      <c r="IO357" s="133"/>
      <c r="IP357" s="133"/>
      <c r="IQ357" s="133"/>
      <c r="IR357" s="133"/>
      <c r="IS357" s="133"/>
      <c r="IT357" s="133"/>
      <c r="IU357" s="133"/>
      <c r="IV357" s="133"/>
    </row>
    <row r="358" spans="1:256" s="132" customFormat="1" ht="13.8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GE358" s="133"/>
      <c r="GF358" s="133"/>
      <c r="GG358" s="133"/>
      <c r="GH358" s="133"/>
      <c r="GI358" s="133"/>
      <c r="GJ358" s="133"/>
      <c r="GK358" s="133"/>
      <c r="GL358" s="133"/>
      <c r="GM358" s="133"/>
      <c r="GN358" s="133"/>
      <c r="GO358" s="133"/>
      <c r="GP358" s="133"/>
      <c r="GQ358" s="133"/>
      <c r="GR358" s="133"/>
      <c r="GS358" s="133"/>
      <c r="GT358" s="133"/>
      <c r="GU358" s="133"/>
      <c r="GV358" s="133"/>
      <c r="GW358" s="133"/>
      <c r="GX358" s="133"/>
      <c r="GY358" s="133"/>
      <c r="GZ358" s="133"/>
      <c r="HA358" s="133"/>
      <c r="HB358" s="133"/>
      <c r="HC358" s="133"/>
      <c r="HD358" s="133"/>
      <c r="HE358" s="133"/>
      <c r="HF358" s="133"/>
      <c r="HG358" s="133"/>
      <c r="HH358" s="133"/>
      <c r="HI358" s="133"/>
      <c r="HJ358" s="133"/>
      <c r="HK358" s="133"/>
      <c r="HL358" s="133"/>
      <c r="HM358" s="133"/>
      <c r="HN358" s="133"/>
      <c r="HO358" s="133"/>
      <c r="HP358" s="133"/>
      <c r="HQ358" s="133"/>
      <c r="HR358" s="133"/>
      <c r="HS358" s="133"/>
      <c r="HT358" s="133"/>
      <c r="HU358" s="133"/>
      <c r="HV358" s="133"/>
      <c r="HW358" s="133"/>
      <c r="HX358" s="133"/>
      <c r="HY358" s="133"/>
      <c r="HZ358" s="133"/>
      <c r="IA358" s="133"/>
      <c r="IB358" s="133"/>
      <c r="IC358" s="133"/>
      <c r="ID358" s="133"/>
      <c r="IE358" s="133"/>
      <c r="IF358" s="133"/>
      <c r="IG358" s="133"/>
      <c r="IH358" s="133"/>
      <c r="II358" s="133"/>
      <c r="IJ358" s="133"/>
      <c r="IK358" s="133"/>
      <c r="IL358" s="133"/>
      <c r="IM358" s="133"/>
      <c r="IN358" s="133"/>
      <c r="IO358" s="133"/>
      <c r="IP358" s="133"/>
      <c r="IQ358" s="133"/>
      <c r="IR358" s="133"/>
      <c r="IS358" s="133"/>
      <c r="IT358" s="133"/>
      <c r="IU358" s="133"/>
      <c r="IV358" s="133"/>
    </row>
    <row r="359" spans="1:256" s="132" customFormat="1" ht="13.8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GE359" s="133"/>
      <c r="GF359" s="133"/>
      <c r="GG359" s="133"/>
      <c r="GH359" s="133"/>
      <c r="GI359" s="133"/>
      <c r="GJ359" s="133"/>
      <c r="GK359" s="133"/>
      <c r="GL359" s="133"/>
      <c r="GM359" s="133"/>
      <c r="GN359" s="133"/>
      <c r="GO359" s="133"/>
      <c r="GP359" s="133"/>
      <c r="GQ359" s="133"/>
      <c r="GR359" s="133"/>
      <c r="GS359" s="133"/>
      <c r="GT359" s="133"/>
      <c r="GU359" s="133"/>
      <c r="GV359" s="133"/>
      <c r="GW359" s="133"/>
      <c r="GX359" s="133"/>
      <c r="GY359" s="133"/>
      <c r="GZ359" s="133"/>
      <c r="HA359" s="133"/>
      <c r="HB359" s="133"/>
      <c r="HC359" s="133"/>
      <c r="HD359" s="133"/>
      <c r="HE359" s="133"/>
      <c r="HF359" s="133"/>
      <c r="HG359" s="133"/>
      <c r="HH359" s="133"/>
      <c r="HI359" s="133"/>
      <c r="HJ359" s="133"/>
      <c r="HK359" s="133"/>
      <c r="HL359" s="133"/>
      <c r="HM359" s="133"/>
      <c r="HN359" s="133"/>
      <c r="HO359" s="133"/>
      <c r="HP359" s="133"/>
      <c r="HQ359" s="133"/>
      <c r="HR359" s="133"/>
      <c r="HS359" s="133"/>
      <c r="HT359" s="133"/>
      <c r="HU359" s="133"/>
      <c r="HV359" s="133"/>
      <c r="HW359" s="133"/>
      <c r="HX359" s="133"/>
      <c r="HY359" s="133"/>
      <c r="HZ359" s="133"/>
      <c r="IA359" s="133"/>
      <c r="IB359" s="133"/>
      <c r="IC359" s="133"/>
      <c r="ID359" s="133"/>
      <c r="IE359" s="133"/>
      <c r="IF359" s="133"/>
      <c r="IG359" s="133"/>
      <c r="IH359" s="133"/>
      <c r="II359" s="133"/>
      <c r="IJ359" s="133"/>
      <c r="IK359" s="133"/>
      <c r="IL359" s="133"/>
      <c r="IM359" s="133"/>
      <c r="IN359" s="133"/>
      <c r="IO359" s="133"/>
      <c r="IP359" s="133"/>
      <c r="IQ359" s="133"/>
      <c r="IR359" s="133"/>
      <c r="IS359" s="133"/>
      <c r="IT359" s="133"/>
      <c r="IU359" s="133"/>
      <c r="IV359" s="133"/>
    </row>
    <row r="360" spans="1:256" s="132" customFormat="1" ht="13.8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GE360" s="133"/>
      <c r="GF360" s="133"/>
      <c r="GG360" s="133"/>
      <c r="GH360" s="133"/>
      <c r="GI360" s="133"/>
      <c r="GJ360" s="133"/>
      <c r="GK360" s="133"/>
      <c r="GL360" s="133"/>
      <c r="GM360" s="133"/>
      <c r="GN360" s="133"/>
      <c r="GO360" s="133"/>
      <c r="GP360" s="133"/>
      <c r="GQ360" s="133"/>
      <c r="GR360" s="133"/>
      <c r="GS360" s="133"/>
      <c r="GT360" s="133"/>
      <c r="GU360" s="133"/>
      <c r="GV360" s="133"/>
      <c r="GW360" s="133"/>
      <c r="GX360" s="133"/>
      <c r="GY360" s="133"/>
      <c r="GZ360" s="133"/>
      <c r="HA360" s="133"/>
      <c r="HB360" s="133"/>
      <c r="HC360" s="133"/>
      <c r="HD360" s="133"/>
      <c r="HE360" s="133"/>
      <c r="HF360" s="133"/>
      <c r="HG360" s="133"/>
      <c r="HH360" s="133"/>
      <c r="HI360" s="133"/>
      <c r="HJ360" s="133"/>
      <c r="HK360" s="133"/>
      <c r="HL360" s="133"/>
      <c r="HM360" s="133"/>
      <c r="HN360" s="133"/>
      <c r="HO360" s="133"/>
      <c r="HP360" s="133"/>
      <c r="HQ360" s="133"/>
      <c r="HR360" s="133"/>
      <c r="HS360" s="133"/>
      <c r="HT360" s="133"/>
      <c r="HU360" s="133"/>
      <c r="HV360" s="133"/>
      <c r="HW360" s="133"/>
      <c r="HX360" s="133"/>
      <c r="HY360" s="133"/>
      <c r="HZ360" s="133"/>
      <c r="IA360" s="133"/>
      <c r="IB360" s="133"/>
      <c r="IC360" s="133"/>
      <c r="ID360" s="133"/>
      <c r="IE360" s="133"/>
      <c r="IF360" s="133"/>
      <c r="IG360" s="133"/>
      <c r="IH360" s="133"/>
      <c r="II360" s="133"/>
      <c r="IJ360" s="133"/>
      <c r="IK360" s="133"/>
      <c r="IL360" s="133"/>
      <c r="IM360" s="133"/>
      <c r="IN360" s="133"/>
      <c r="IO360" s="133"/>
      <c r="IP360" s="133"/>
      <c r="IQ360" s="133"/>
      <c r="IR360" s="133"/>
      <c r="IS360" s="133"/>
      <c r="IT360" s="133"/>
      <c r="IU360" s="133"/>
      <c r="IV360" s="133"/>
    </row>
    <row r="361" spans="1:256" s="132" customFormat="1" ht="13.8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GE361" s="133"/>
      <c r="GF361" s="133"/>
      <c r="GG361" s="133"/>
      <c r="GH361" s="133"/>
      <c r="GI361" s="133"/>
      <c r="GJ361" s="133"/>
      <c r="GK361" s="133"/>
      <c r="GL361" s="133"/>
      <c r="GM361" s="133"/>
      <c r="GN361" s="133"/>
      <c r="GO361" s="133"/>
      <c r="GP361" s="133"/>
      <c r="GQ361" s="133"/>
      <c r="GR361" s="133"/>
      <c r="GS361" s="133"/>
      <c r="GT361" s="133"/>
      <c r="GU361" s="133"/>
      <c r="GV361" s="133"/>
      <c r="GW361" s="133"/>
      <c r="GX361" s="133"/>
      <c r="GY361" s="133"/>
      <c r="GZ361" s="133"/>
      <c r="HA361" s="133"/>
      <c r="HB361" s="133"/>
      <c r="HC361" s="133"/>
      <c r="HD361" s="133"/>
      <c r="HE361" s="133"/>
      <c r="HF361" s="133"/>
      <c r="HG361" s="133"/>
      <c r="HH361" s="133"/>
      <c r="HI361" s="133"/>
      <c r="HJ361" s="133"/>
      <c r="HK361" s="133"/>
      <c r="HL361" s="133"/>
      <c r="HM361" s="133"/>
      <c r="HN361" s="133"/>
      <c r="HO361" s="133"/>
      <c r="HP361" s="133"/>
      <c r="HQ361" s="133"/>
      <c r="HR361" s="133"/>
      <c r="HS361" s="133"/>
      <c r="HT361" s="133"/>
      <c r="HU361" s="133"/>
      <c r="HV361" s="133"/>
      <c r="HW361" s="133"/>
      <c r="HX361" s="133"/>
      <c r="HY361" s="133"/>
      <c r="HZ361" s="133"/>
      <c r="IA361" s="133"/>
      <c r="IB361" s="133"/>
      <c r="IC361" s="133"/>
      <c r="ID361" s="133"/>
      <c r="IE361" s="133"/>
      <c r="IF361" s="133"/>
      <c r="IG361" s="133"/>
      <c r="IH361" s="133"/>
      <c r="II361" s="133"/>
      <c r="IJ361" s="133"/>
      <c r="IK361" s="133"/>
      <c r="IL361" s="133"/>
      <c r="IM361" s="133"/>
      <c r="IN361" s="133"/>
      <c r="IO361" s="133"/>
      <c r="IP361" s="133"/>
      <c r="IQ361" s="133"/>
      <c r="IR361" s="133"/>
      <c r="IS361" s="133"/>
      <c r="IT361" s="133"/>
      <c r="IU361" s="133"/>
      <c r="IV361" s="133"/>
    </row>
    <row r="362" spans="1:256" s="132" customFormat="1" ht="13.8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GE362" s="133"/>
      <c r="GF362" s="133"/>
      <c r="GG362" s="133"/>
      <c r="GH362" s="133"/>
      <c r="GI362" s="133"/>
      <c r="GJ362" s="133"/>
      <c r="GK362" s="133"/>
      <c r="GL362" s="133"/>
      <c r="GM362" s="133"/>
      <c r="GN362" s="133"/>
      <c r="GO362" s="133"/>
      <c r="GP362" s="133"/>
      <c r="GQ362" s="133"/>
      <c r="GR362" s="133"/>
      <c r="GS362" s="133"/>
      <c r="GT362" s="133"/>
      <c r="GU362" s="133"/>
      <c r="GV362" s="133"/>
      <c r="GW362" s="133"/>
      <c r="GX362" s="133"/>
      <c r="GY362" s="133"/>
      <c r="GZ362" s="133"/>
      <c r="HA362" s="133"/>
      <c r="HB362" s="133"/>
      <c r="HC362" s="133"/>
      <c r="HD362" s="133"/>
      <c r="HE362" s="133"/>
      <c r="HF362" s="133"/>
      <c r="HG362" s="133"/>
      <c r="HH362" s="133"/>
      <c r="HI362" s="133"/>
      <c r="HJ362" s="133"/>
      <c r="HK362" s="133"/>
      <c r="HL362" s="133"/>
      <c r="HM362" s="133"/>
      <c r="HN362" s="133"/>
      <c r="HO362" s="133"/>
      <c r="HP362" s="133"/>
      <c r="HQ362" s="133"/>
      <c r="HR362" s="133"/>
      <c r="HS362" s="133"/>
      <c r="HT362" s="133"/>
      <c r="HU362" s="133"/>
      <c r="HV362" s="133"/>
      <c r="HW362" s="133"/>
      <c r="HX362" s="133"/>
      <c r="HY362" s="133"/>
      <c r="HZ362" s="133"/>
      <c r="IA362" s="133"/>
      <c r="IB362" s="133"/>
      <c r="IC362" s="133"/>
      <c r="ID362" s="133"/>
      <c r="IE362" s="133"/>
      <c r="IF362" s="133"/>
      <c r="IG362" s="133"/>
      <c r="IH362" s="133"/>
      <c r="II362" s="133"/>
      <c r="IJ362" s="133"/>
      <c r="IK362" s="133"/>
      <c r="IL362" s="133"/>
      <c r="IM362" s="133"/>
      <c r="IN362" s="133"/>
      <c r="IO362" s="133"/>
      <c r="IP362" s="133"/>
      <c r="IQ362" s="133"/>
      <c r="IR362" s="133"/>
      <c r="IS362" s="133"/>
      <c r="IT362" s="133"/>
      <c r="IU362" s="133"/>
      <c r="IV362" s="133"/>
    </row>
    <row r="363" spans="1:256" s="132" customFormat="1" ht="13.8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GE363" s="133"/>
      <c r="GF363" s="133"/>
      <c r="GG363" s="133"/>
      <c r="GH363" s="133"/>
      <c r="GI363" s="133"/>
      <c r="GJ363" s="133"/>
      <c r="GK363" s="133"/>
      <c r="GL363" s="133"/>
      <c r="GM363" s="133"/>
      <c r="GN363" s="133"/>
      <c r="GO363" s="133"/>
      <c r="GP363" s="133"/>
      <c r="GQ363" s="133"/>
      <c r="GR363" s="133"/>
      <c r="GS363" s="133"/>
      <c r="GT363" s="133"/>
      <c r="GU363" s="133"/>
      <c r="GV363" s="133"/>
      <c r="GW363" s="133"/>
      <c r="GX363" s="133"/>
      <c r="GY363" s="133"/>
      <c r="GZ363" s="133"/>
      <c r="HA363" s="133"/>
      <c r="HB363" s="133"/>
      <c r="HC363" s="133"/>
      <c r="HD363" s="133"/>
      <c r="HE363" s="133"/>
      <c r="HF363" s="133"/>
      <c r="HG363" s="133"/>
      <c r="HH363" s="133"/>
      <c r="HI363" s="133"/>
      <c r="HJ363" s="133"/>
      <c r="HK363" s="133"/>
      <c r="HL363" s="133"/>
      <c r="HM363" s="133"/>
      <c r="HN363" s="133"/>
      <c r="HO363" s="133"/>
      <c r="HP363" s="133"/>
      <c r="HQ363" s="133"/>
      <c r="HR363" s="133"/>
      <c r="HS363" s="133"/>
      <c r="HT363" s="133"/>
      <c r="HU363" s="133"/>
      <c r="HV363" s="133"/>
      <c r="HW363" s="133"/>
      <c r="HX363" s="133"/>
      <c r="HY363" s="133"/>
      <c r="HZ363" s="133"/>
      <c r="IA363" s="133"/>
      <c r="IB363" s="133"/>
      <c r="IC363" s="133"/>
      <c r="ID363" s="133"/>
      <c r="IE363" s="133"/>
      <c r="IF363" s="133"/>
      <c r="IG363" s="133"/>
      <c r="IH363" s="133"/>
      <c r="II363" s="133"/>
      <c r="IJ363" s="133"/>
      <c r="IK363" s="133"/>
      <c r="IL363" s="133"/>
      <c r="IM363" s="133"/>
      <c r="IN363" s="133"/>
      <c r="IO363" s="133"/>
      <c r="IP363" s="133"/>
      <c r="IQ363" s="133"/>
      <c r="IR363" s="133"/>
      <c r="IS363" s="133"/>
      <c r="IT363" s="133"/>
      <c r="IU363" s="133"/>
      <c r="IV363" s="133"/>
    </row>
    <row r="364" spans="1:256" s="132" customFormat="1" ht="13.8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GE364" s="133"/>
      <c r="GF364" s="133"/>
      <c r="GG364" s="133"/>
      <c r="GH364" s="133"/>
      <c r="GI364" s="133"/>
      <c r="GJ364" s="133"/>
      <c r="GK364" s="133"/>
      <c r="GL364" s="133"/>
      <c r="GM364" s="133"/>
      <c r="GN364" s="133"/>
      <c r="GO364" s="133"/>
      <c r="GP364" s="133"/>
      <c r="GQ364" s="133"/>
      <c r="GR364" s="133"/>
      <c r="GS364" s="133"/>
      <c r="GT364" s="133"/>
      <c r="GU364" s="133"/>
      <c r="GV364" s="133"/>
      <c r="GW364" s="133"/>
      <c r="GX364" s="133"/>
      <c r="GY364" s="133"/>
      <c r="GZ364" s="133"/>
      <c r="HA364" s="133"/>
      <c r="HB364" s="133"/>
      <c r="HC364" s="133"/>
      <c r="HD364" s="133"/>
      <c r="HE364" s="133"/>
      <c r="HF364" s="133"/>
      <c r="HG364" s="133"/>
      <c r="HH364" s="133"/>
      <c r="HI364" s="133"/>
      <c r="HJ364" s="133"/>
      <c r="HK364" s="133"/>
      <c r="HL364" s="133"/>
      <c r="HM364" s="133"/>
      <c r="HN364" s="133"/>
      <c r="HO364" s="133"/>
      <c r="HP364" s="133"/>
      <c r="HQ364" s="133"/>
      <c r="HR364" s="133"/>
      <c r="HS364" s="133"/>
      <c r="HT364" s="133"/>
      <c r="HU364" s="133"/>
      <c r="HV364" s="133"/>
      <c r="HW364" s="133"/>
      <c r="HX364" s="133"/>
      <c r="HY364" s="133"/>
      <c r="HZ364" s="133"/>
      <c r="IA364" s="133"/>
      <c r="IB364" s="133"/>
      <c r="IC364" s="133"/>
      <c r="ID364" s="133"/>
      <c r="IE364" s="133"/>
      <c r="IF364" s="133"/>
      <c r="IG364" s="133"/>
      <c r="IH364" s="133"/>
      <c r="II364" s="133"/>
      <c r="IJ364" s="133"/>
      <c r="IK364" s="133"/>
      <c r="IL364" s="133"/>
      <c r="IM364" s="133"/>
      <c r="IN364" s="133"/>
      <c r="IO364" s="133"/>
      <c r="IP364" s="133"/>
      <c r="IQ364" s="133"/>
      <c r="IR364" s="133"/>
      <c r="IS364" s="133"/>
      <c r="IT364" s="133"/>
      <c r="IU364" s="133"/>
      <c r="IV364" s="133"/>
    </row>
    <row r="365" spans="1:256" s="132" customFormat="1" ht="13.8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GE365" s="133"/>
      <c r="GF365" s="133"/>
      <c r="GG365" s="133"/>
      <c r="GH365" s="133"/>
      <c r="GI365" s="133"/>
      <c r="GJ365" s="133"/>
      <c r="GK365" s="133"/>
      <c r="GL365" s="133"/>
      <c r="GM365" s="133"/>
      <c r="GN365" s="133"/>
      <c r="GO365" s="133"/>
      <c r="GP365" s="133"/>
      <c r="GQ365" s="133"/>
      <c r="GR365" s="133"/>
      <c r="GS365" s="133"/>
      <c r="GT365" s="133"/>
      <c r="GU365" s="133"/>
      <c r="GV365" s="133"/>
      <c r="GW365" s="133"/>
      <c r="GX365" s="133"/>
      <c r="GY365" s="133"/>
      <c r="GZ365" s="133"/>
      <c r="HA365" s="133"/>
      <c r="HB365" s="133"/>
      <c r="HC365" s="133"/>
      <c r="HD365" s="133"/>
      <c r="HE365" s="133"/>
      <c r="HF365" s="133"/>
      <c r="HG365" s="133"/>
      <c r="HH365" s="133"/>
      <c r="HI365" s="133"/>
      <c r="HJ365" s="133"/>
      <c r="HK365" s="133"/>
      <c r="HL365" s="133"/>
      <c r="HM365" s="133"/>
      <c r="HN365" s="133"/>
      <c r="HO365" s="133"/>
      <c r="HP365" s="133"/>
      <c r="HQ365" s="133"/>
      <c r="HR365" s="133"/>
      <c r="HS365" s="133"/>
      <c r="HT365" s="133"/>
      <c r="HU365" s="133"/>
      <c r="HV365" s="133"/>
      <c r="HW365" s="133"/>
      <c r="HX365" s="133"/>
      <c r="HY365" s="133"/>
      <c r="HZ365" s="133"/>
      <c r="IA365" s="133"/>
      <c r="IB365" s="133"/>
      <c r="IC365" s="133"/>
      <c r="ID365" s="133"/>
      <c r="IE365" s="133"/>
      <c r="IF365" s="133"/>
      <c r="IG365" s="133"/>
      <c r="IH365" s="133"/>
      <c r="II365" s="133"/>
      <c r="IJ365" s="133"/>
      <c r="IK365" s="133"/>
      <c r="IL365" s="133"/>
      <c r="IM365" s="133"/>
      <c r="IN365" s="133"/>
      <c r="IO365" s="133"/>
      <c r="IP365" s="133"/>
      <c r="IQ365" s="133"/>
      <c r="IR365" s="133"/>
      <c r="IS365" s="133"/>
      <c r="IT365" s="133"/>
      <c r="IU365" s="133"/>
      <c r="IV365" s="133"/>
    </row>
    <row r="366" spans="1:256" s="132" customFormat="1" ht="13.8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GE366" s="133"/>
      <c r="GF366" s="133"/>
      <c r="GG366" s="133"/>
      <c r="GH366" s="133"/>
      <c r="GI366" s="133"/>
      <c r="GJ366" s="133"/>
      <c r="GK366" s="133"/>
      <c r="GL366" s="133"/>
      <c r="GM366" s="133"/>
      <c r="GN366" s="133"/>
      <c r="GO366" s="133"/>
      <c r="GP366" s="133"/>
      <c r="GQ366" s="133"/>
      <c r="GR366" s="133"/>
      <c r="GS366" s="133"/>
      <c r="GT366" s="133"/>
      <c r="GU366" s="133"/>
      <c r="GV366" s="133"/>
      <c r="GW366" s="133"/>
      <c r="GX366" s="133"/>
      <c r="GY366" s="133"/>
      <c r="GZ366" s="133"/>
      <c r="HA366" s="133"/>
      <c r="HB366" s="133"/>
      <c r="HC366" s="133"/>
      <c r="HD366" s="133"/>
      <c r="HE366" s="133"/>
      <c r="HF366" s="133"/>
      <c r="HG366" s="133"/>
      <c r="HH366" s="133"/>
      <c r="HI366" s="133"/>
      <c r="HJ366" s="133"/>
      <c r="HK366" s="133"/>
      <c r="HL366" s="133"/>
      <c r="HM366" s="133"/>
      <c r="HN366" s="133"/>
      <c r="HO366" s="133"/>
      <c r="HP366" s="133"/>
      <c r="HQ366" s="133"/>
      <c r="HR366" s="133"/>
      <c r="HS366" s="133"/>
      <c r="HT366" s="133"/>
      <c r="HU366" s="133"/>
      <c r="HV366" s="133"/>
      <c r="HW366" s="133"/>
      <c r="HX366" s="133"/>
      <c r="HY366" s="133"/>
      <c r="HZ366" s="133"/>
      <c r="IA366" s="133"/>
      <c r="IB366" s="133"/>
      <c r="IC366" s="133"/>
      <c r="ID366" s="133"/>
      <c r="IE366" s="133"/>
      <c r="IF366" s="133"/>
      <c r="IG366" s="133"/>
      <c r="IH366" s="133"/>
      <c r="II366" s="133"/>
      <c r="IJ366" s="133"/>
      <c r="IK366" s="133"/>
      <c r="IL366" s="133"/>
      <c r="IM366" s="133"/>
      <c r="IN366" s="133"/>
      <c r="IO366" s="133"/>
      <c r="IP366" s="133"/>
      <c r="IQ366" s="133"/>
      <c r="IR366" s="133"/>
      <c r="IS366" s="133"/>
      <c r="IT366" s="133"/>
      <c r="IU366" s="133"/>
      <c r="IV366" s="133"/>
    </row>
    <row r="367" spans="1:256" s="132" customFormat="1" ht="13.8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GE367" s="133"/>
      <c r="GF367" s="133"/>
      <c r="GG367" s="133"/>
      <c r="GH367" s="133"/>
      <c r="GI367" s="133"/>
      <c r="GJ367" s="133"/>
      <c r="GK367" s="133"/>
      <c r="GL367" s="133"/>
      <c r="GM367" s="133"/>
      <c r="GN367" s="133"/>
      <c r="GO367" s="133"/>
      <c r="GP367" s="133"/>
      <c r="GQ367" s="133"/>
      <c r="GR367" s="133"/>
      <c r="GS367" s="133"/>
      <c r="GT367" s="133"/>
      <c r="GU367" s="133"/>
      <c r="GV367" s="133"/>
      <c r="GW367" s="133"/>
      <c r="GX367" s="133"/>
      <c r="GY367" s="133"/>
      <c r="GZ367" s="133"/>
      <c r="HA367" s="133"/>
      <c r="HB367" s="133"/>
      <c r="HC367" s="133"/>
      <c r="HD367" s="133"/>
      <c r="HE367" s="133"/>
      <c r="HF367" s="133"/>
      <c r="HG367" s="133"/>
      <c r="HH367" s="133"/>
      <c r="HI367" s="133"/>
      <c r="HJ367" s="133"/>
      <c r="HK367" s="133"/>
      <c r="HL367" s="133"/>
      <c r="HM367" s="133"/>
      <c r="HN367" s="133"/>
      <c r="HO367" s="133"/>
      <c r="HP367" s="133"/>
      <c r="HQ367" s="133"/>
      <c r="HR367" s="133"/>
      <c r="HS367" s="133"/>
      <c r="HT367" s="133"/>
      <c r="HU367" s="133"/>
      <c r="HV367" s="133"/>
      <c r="HW367" s="133"/>
      <c r="HX367" s="133"/>
      <c r="HY367" s="133"/>
      <c r="HZ367" s="133"/>
      <c r="IA367" s="133"/>
      <c r="IB367" s="133"/>
      <c r="IC367" s="133"/>
      <c r="ID367" s="133"/>
      <c r="IE367" s="133"/>
      <c r="IF367" s="133"/>
      <c r="IG367" s="133"/>
      <c r="IH367" s="133"/>
      <c r="II367" s="133"/>
      <c r="IJ367" s="133"/>
      <c r="IK367" s="133"/>
      <c r="IL367" s="133"/>
      <c r="IM367" s="133"/>
      <c r="IN367" s="133"/>
      <c r="IO367" s="133"/>
      <c r="IP367" s="133"/>
      <c r="IQ367" s="133"/>
      <c r="IR367" s="133"/>
      <c r="IS367" s="133"/>
      <c r="IT367" s="133"/>
      <c r="IU367" s="133"/>
      <c r="IV367" s="133"/>
    </row>
    <row r="368" spans="1:256" s="132" customFormat="1" ht="13.8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GE368" s="133"/>
      <c r="GF368" s="133"/>
      <c r="GG368" s="133"/>
      <c r="GH368" s="133"/>
      <c r="GI368" s="133"/>
      <c r="GJ368" s="133"/>
      <c r="GK368" s="133"/>
      <c r="GL368" s="133"/>
      <c r="GM368" s="133"/>
      <c r="GN368" s="133"/>
      <c r="GO368" s="133"/>
      <c r="GP368" s="133"/>
      <c r="GQ368" s="133"/>
      <c r="GR368" s="133"/>
      <c r="GS368" s="133"/>
      <c r="GT368" s="133"/>
      <c r="GU368" s="133"/>
      <c r="GV368" s="133"/>
      <c r="GW368" s="133"/>
      <c r="GX368" s="133"/>
      <c r="GY368" s="133"/>
      <c r="GZ368" s="133"/>
      <c r="HA368" s="133"/>
      <c r="HB368" s="133"/>
      <c r="HC368" s="133"/>
      <c r="HD368" s="133"/>
      <c r="HE368" s="133"/>
      <c r="HF368" s="133"/>
      <c r="HG368" s="133"/>
      <c r="HH368" s="133"/>
      <c r="HI368" s="133"/>
      <c r="HJ368" s="133"/>
      <c r="HK368" s="133"/>
      <c r="HL368" s="133"/>
      <c r="HM368" s="133"/>
      <c r="HN368" s="133"/>
      <c r="HO368" s="133"/>
      <c r="HP368" s="133"/>
      <c r="HQ368" s="133"/>
      <c r="HR368" s="133"/>
      <c r="HS368" s="133"/>
      <c r="HT368" s="133"/>
      <c r="HU368" s="133"/>
      <c r="HV368" s="133"/>
      <c r="HW368" s="133"/>
      <c r="HX368" s="133"/>
      <c r="HY368" s="133"/>
      <c r="HZ368" s="133"/>
      <c r="IA368" s="133"/>
      <c r="IB368" s="133"/>
      <c r="IC368" s="133"/>
      <c r="ID368" s="133"/>
      <c r="IE368" s="133"/>
      <c r="IF368" s="133"/>
      <c r="IG368" s="133"/>
      <c r="IH368" s="133"/>
      <c r="II368" s="133"/>
      <c r="IJ368" s="133"/>
      <c r="IK368" s="133"/>
      <c r="IL368" s="133"/>
      <c r="IM368" s="133"/>
      <c r="IN368" s="133"/>
      <c r="IO368" s="133"/>
      <c r="IP368" s="133"/>
      <c r="IQ368" s="133"/>
      <c r="IR368" s="133"/>
      <c r="IS368" s="133"/>
      <c r="IT368" s="133"/>
      <c r="IU368" s="133"/>
      <c r="IV368" s="133"/>
    </row>
    <row r="369" spans="1:256" s="132" customFormat="1" ht="13.8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GE369" s="133"/>
      <c r="GF369" s="133"/>
      <c r="GG369" s="133"/>
      <c r="GH369" s="133"/>
      <c r="GI369" s="133"/>
      <c r="GJ369" s="133"/>
      <c r="GK369" s="133"/>
      <c r="GL369" s="133"/>
      <c r="GM369" s="133"/>
      <c r="GN369" s="133"/>
      <c r="GO369" s="133"/>
      <c r="GP369" s="133"/>
      <c r="GQ369" s="133"/>
      <c r="GR369" s="133"/>
      <c r="GS369" s="133"/>
      <c r="GT369" s="133"/>
      <c r="GU369" s="133"/>
      <c r="GV369" s="133"/>
      <c r="GW369" s="133"/>
      <c r="GX369" s="133"/>
      <c r="GY369" s="133"/>
      <c r="GZ369" s="133"/>
      <c r="HA369" s="133"/>
      <c r="HB369" s="133"/>
      <c r="HC369" s="133"/>
      <c r="HD369" s="133"/>
      <c r="HE369" s="133"/>
      <c r="HF369" s="133"/>
      <c r="HG369" s="133"/>
      <c r="HH369" s="133"/>
      <c r="HI369" s="133"/>
      <c r="HJ369" s="133"/>
      <c r="HK369" s="133"/>
      <c r="HL369" s="133"/>
      <c r="HM369" s="133"/>
      <c r="HN369" s="133"/>
      <c r="HO369" s="133"/>
      <c r="HP369" s="133"/>
      <c r="HQ369" s="133"/>
      <c r="HR369" s="133"/>
      <c r="HS369" s="133"/>
      <c r="HT369" s="133"/>
      <c r="HU369" s="133"/>
      <c r="HV369" s="133"/>
      <c r="HW369" s="133"/>
      <c r="HX369" s="133"/>
      <c r="HY369" s="133"/>
      <c r="HZ369" s="133"/>
      <c r="IA369" s="133"/>
      <c r="IB369" s="133"/>
      <c r="IC369" s="133"/>
      <c r="ID369" s="133"/>
      <c r="IE369" s="133"/>
      <c r="IF369" s="133"/>
      <c r="IG369" s="133"/>
      <c r="IH369" s="133"/>
      <c r="II369" s="133"/>
      <c r="IJ369" s="133"/>
      <c r="IK369" s="133"/>
      <c r="IL369" s="133"/>
      <c r="IM369" s="133"/>
      <c r="IN369" s="133"/>
      <c r="IO369" s="133"/>
      <c r="IP369" s="133"/>
      <c r="IQ369" s="133"/>
      <c r="IR369" s="133"/>
      <c r="IS369" s="133"/>
      <c r="IT369" s="133"/>
      <c r="IU369" s="133"/>
      <c r="IV369" s="133"/>
    </row>
    <row r="370" spans="1:256" s="132" customFormat="1" ht="13.8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GE370" s="133"/>
      <c r="GF370" s="133"/>
      <c r="GG370" s="133"/>
      <c r="GH370" s="133"/>
      <c r="GI370" s="133"/>
      <c r="GJ370" s="133"/>
      <c r="GK370" s="133"/>
      <c r="GL370" s="133"/>
      <c r="GM370" s="133"/>
      <c r="GN370" s="133"/>
      <c r="GO370" s="133"/>
      <c r="GP370" s="133"/>
      <c r="GQ370" s="133"/>
      <c r="GR370" s="133"/>
      <c r="GS370" s="133"/>
      <c r="GT370" s="133"/>
      <c r="GU370" s="133"/>
      <c r="GV370" s="133"/>
      <c r="GW370" s="133"/>
      <c r="GX370" s="133"/>
      <c r="GY370" s="133"/>
      <c r="GZ370" s="133"/>
      <c r="HA370" s="133"/>
      <c r="HB370" s="133"/>
      <c r="HC370" s="133"/>
      <c r="HD370" s="133"/>
      <c r="HE370" s="133"/>
      <c r="HF370" s="133"/>
      <c r="HG370" s="133"/>
      <c r="HH370" s="133"/>
      <c r="HI370" s="133"/>
      <c r="HJ370" s="133"/>
      <c r="HK370" s="133"/>
      <c r="HL370" s="133"/>
      <c r="HM370" s="133"/>
      <c r="HN370" s="133"/>
      <c r="HO370" s="133"/>
      <c r="HP370" s="133"/>
      <c r="HQ370" s="133"/>
      <c r="HR370" s="133"/>
      <c r="HS370" s="133"/>
      <c r="HT370" s="133"/>
      <c r="HU370" s="133"/>
      <c r="HV370" s="133"/>
      <c r="HW370" s="133"/>
      <c r="HX370" s="133"/>
      <c r="HY370" s="133"/>
      <c r="HZ370" s="133"/>
      <c r="IA370" s="133"/>
      <c r="IB370" s="133"/>
      <c r="IC370" s="133"/>
      <c r="ID370" s="133"/>
      <c r="IE370" s="133"/>
      <c r="IF370" s="133"/>
      <c r="IG370" s="133"/>
      <c r="IH370" s="133"/>
      <c r="II370" s="133"/>
      <c r="IJ370" s="133"/>
      <c r="IK370" s="133"/>
      <c r="IL370" s="133"/>
      <c r="IM370" s="133"/>
      <c r="IN370" s="133"/>
      <c r="IO370" s="133"/>
      <c r="IP370" s="133"/>
      <c r="IQ370" s="133"/>
      <c r="IR370" s="133"/>
      <c r="IS370" s="133"/>
      <c r="IT370" s="133"/>
      <c r="IU370" s="133"/>
      <c r="IV370" s="133"/>
    </row>
    <row r="371" spans="1:256" s="132" customFormat="1" ht="13.8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GE371" s="133"/>
      <c r="GF371" s="133"/>
      <c r="GG371" s="133"/>
      <c r="GH371" s="133"/>
      <c r="GI371" s="133"/>
      <c r="GJ371" s="133"/>
      <c r="GK371" s="133"/>
      <c r="GL371" s="133"/>
      <c r="GM371" s="133"/>
      <c r="GN371" s="133"/>
      <c r="GO371" s="133"/>
      <c r="GP371" s="133"/>
      <c r="GQ371" s="133"/>
      <c r="GR371" s="133"/>
      <c r="GS371" s="133"/>
      <c r="GT371" s="133"/>
      <c r="GU371" s="133"/>
      <c r="GV371" s="133"/>
      <c r="GW371" s="133"/>
      <c r="GX371" s="133"/>
      <c r="GY371" s="133"/>
      <c r="GZ371" s="133"/>
      <c r="HA371" s="133"/>
      <c r="HB371" s="133"/>
      <c r="HC371" s="133"/>
      <c r="HD371" s="133"/>
      <c r="HE371" s="133"/>
      <c r="HF371" s="133"/>
      <c r="HG371" s="133"/>
      <c r="HH371" s="133"/>
      <c r="HI371" s="133"/>
      <c r="HJ371" s="133"/>
      <c r="HK371" s="133"/>
      <c r="HL371" s="133"/>
      <c r="HM371" s="133"/>
      <c r="HN371" s="133"/>
      <c r="HO371" s="133"/>
      <c r="HP371" s="133"/>
      <c r="HQ371" s="133"/>
      <c r="HR371" s="133"/>
      <c r="HS371" s="133"/>
      <c r="HT371" s="133"/>
      <c r="HU371" s="133"/>
      <c r="HV371" s="133"/>
      <c r="HW371" s="133"/>
      <c r="HX371" s="133"/>
      <c r="HY371" s="133"/>
      <c r="HZ371" s="133"/>
      <c r="IA371" s="133"/>
      <c r="IB371" s="133"/>
      <c r="IC371" s="133"/>
      <c r="ID371" s="133"/>
      <c r="IE371" s="133"/>
      <c r="IF371" s="133"/>
      <c r="IG371" s="133"/>
      <c r="IH371" s="133"/>
      <c r="II371" s="133"/>
      <c r="IJ371" s="133"/>
      <c r="IK371" s="133"/>
      <c r="IL371" s="133"/>
      <c r="IM371" s="133"/>
      <c r="IN371" s="133"/>
      <c r="IO371" s="133"/>
      <c r="IP371" s="133"/>
      <c r="IQ371" s="133"/>
      <c r="IR371" s="133"/>
      <c r="IS371" s="133"/>
      <c r="IT371" s="133"/>
      <c r="IU371" s="133"/>
      <c r="IV371" s="133"/>
    </row>
    <row r="372" spans="1:256" s="132" customFormat="1" ht="13.8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GE372" s="133"/>
      <c r="GF372" s="133"/>
      <c r="GG372" s="133"/>
      <c r="GH372" s="133"/>
      <c r="GI372" s="133"/>
      <c r="GJ372" s="133"/>
      <c r="GK372" s="133"/>
      <c r="GL372" s="133"/>
      <c r="GM372" s="133"/>
      <c r="GN372" s="133"/>
      <c r="GO372" s="133"/>
      <c r="GP372" s="133"/>
      <c r="GQ372" s="133"/>
      <c r="GR372" s="133"/>
      <c r="GS372" s="133"/>
      <c r="GT372" s="133"/>
      <c r="GU372" s="133"/>
      <c r="GV372" s="133"/>
      <c r="GW372" s="133"/>
      <c r="GX372" s="133"/>
      <c r="GY372" s="133"/>
      <c r="GZ372" s="133"/>
      <c r="HA372" s="133"/>
      <c r="HB372" s="133"/>
      <c r="HC372" s="133"/>
      <c r="HD372" s="133"/>
      <c r="HE372" s="133"/>
      <c r="HF372" s="133"/>
      <c r="HG372" s="133"/>
      <c r="HH372" s="133"/>
      <c r="HI372" s="133"/>
      <c r="HJ372" s="133"/>
      <c r="HK372" s="133"/>
      <c r="HL372" s="133"/>
      <c r="HM372" s="133"/>
      <c r="HN372" s="133"/>
      <c r="HO372" s="133"/>
      <c r="HP372" s="133"/>
      <c r="HQ372" s="133"/>
      <c r="HR372" s="133"/>
      <c r="HS372" s="133"/>
      <c r="HT372" s="133"/>
      <c r="HU372" s="133"/>
      <c r="HV372" s="133"/>
      <c r="HW372" s="133"/>
      <c r="HX372" s="133"/>
      <c r="HY372" s="133"/>
      <c r="HZ372" s="133"/>
      <c r="IA372" s="133"/>
      <c r="IB372" s="133"/>
      <c r="IC372" s="133"/>
      <c r="ID372" s="133"/>
      <c r="IE372" s="133"/>
      <c r="IF372" s="133"/>
      <c r="IG372" s="133"/>
      <c r="IH372" s="133"/>
      <c r="II372" s="133"/>
      <c r="IJ372" s="133"/>
      <c r="IK372" s="133"/>
      <c r="IL372" s="133"/>
      <c r="IM372" s="133"/>
      <c r="IN372" s="133"/>
      <c r="IO372" s="133"/>
      <c r="IP372" s="133"/>
      <c r="IQ372" s="133"/>
      <c r="IR372" s="133"/>
      <c r="IS372" s="133"/>
      <c r="IT372" s="133"/>
      <c r="IU372" s="133"/>
      <c r="IV372" s="133"/>
    </row>
    <row r="373" spans="1:256" s="132" customFormat="1" ht="13.8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GE373" s="133"/>
      <c r="GF373" s="133"/>
      <c r="GG373" s="133"/>
      <c r="GH373" s="133"/>
      <c r="GI373" s="133"/>
      <c r="GJ373" s="133"/>
      <c r="GK373" s="133"/>
      <c r="GL373" s="133"/>
      <c r="GM373" s="133"/>
      <c r="GN373" s="133"/>
      <c r="GO373" s="133"/>
      <c r="GP373" s="133"/>
      <c r="GQ373" s="133"/>
      <c r="GR373" s="133"/>
      <c r="GS373" s="133"/>
      <c r="GT373" s="133"/>
      <c r="GU373" s="133"/>
      <c r="GV373" s="133"/>
      <c r="GW373" s="133"/>
      <c r="GX373" s="133"/>
      <c r="GY373" s="133"/>
      <c r="GZ373" s="133"/>
      <c r="HA373" s="133"/>
      <c r="HB373" s="133"/>
      <c r="HC373" s="133"/>
      <c r="HD373" s="133"/>
      <c r="HE373" s="133"/>
      <c r="HF373" s="133"/>
      <c r="HG373" s="133"/>
      <c r="HH373" s="133"/>
      <c r="HI373" s="133"/>
      <c r="HJ373" s="133"/>
      <c r="HK373" s="133"/>
      <c r="HL373" s="133"/>
      <c r="HM373" s="133"/>
      <c r="HN373" s="133"/>
      <c r="HO373" s="133"/>
      <c r="HP373" s="133"/>
      <c r="HQ373" s="133"/>
      <c r="HR373" s="133"/>
      <c r="HS373" s="133"/>
      <c r="HT373" s="133"/>
      <c r="HU373" s="133"/>
      <c r="HV373" s="133"/>
      <c r="HW373" s="133"/>
      <c r="HX373" s="133"/>
      <c r="HY373" s="133"/>
      <c r="HZ373" s="133"/>
      <c r="IA373" s="133"/>
      <c r="IB373" s="133"/>
      <c r="IC373" s="133"/>
      <c r="ID373" s="133"/>
      <c r="IE373" s="133"/>
      <c r="IF373" s="133"/>
      <c r="IG373" s="133"/>
      <c r="IH373" s="133"/>
      <c r="II373" s="133"/>
      <c r="IJ373" s="133"/>
      <c r="IK373" s="133"/>
      <c r="IL373" s="133"/>
      <c r="IM373" s="133"/>
      <c r="IN373" s="133"/>
      <c r="IO373" s="133"/>
      <c r="IP373" s="133"/>
      <c r="IQ373" s="133"/>
      <c r="IR373" s="133"/>
      <c r="IS373" s="133"/>
      <c r="IT373" s="133"/>
      <c r="IU373" s="133"/>
      <c r="IV373" s="133"/>
    </row>
    <row r="374" spans="1:256" s="132" customFormat="1" ht="13.8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GE374" s="133"/>
      <c r="GF374" s="133"/>
      <c r="GG374" s="133"/>
      <c r="GH374" s="133"/>
      <c r="GI374" s="133"/>
      <c r="GJ374" s="133"/>
      <c r="GK374" s="133"/>
      <c r="GL374" s="133"/>
      <c r="GM374" s="133"/>
      <c r="GN374" s="133"/>
      <c r="GO374" s="133"/>
      <c r="GP374" s="133"/>
      <c r="GQ374" s="133"/>
      <c r="GR374" s="133"/>
      <c r="GS374" s="133"/>
      <c r="GT374" s="133"/>
      <c r="GU374" s="133"/>
      <c r="GV374" s="133"/>
      <c r="GW374" s="133"/>
      <c r="GX374" s="133"/>
      <c r="GY374" s="133"/>
      <c r="GZ374" s="133"/>
      <c r="HA374" s="133"/>
      <c r="HB374" s="133"/>
      <c r="HC374" s="133"/>
      <c r="HD374" s="133"/>
      <c r="HE374" s="133"/>
      <c r="HF374" s="133"/>
      <c r="HG374" s="133"/>
      <c r="HH374" s="133"/>
      <c r="HI374" s="133"/>
      <c r="HJ374" s="133"/>
      <c r="HK374" s="133"/>
      <c r="HL374" s="133"/>
      <c r="HM374" s="133"/>
      <c r="HN374" s="133"/>
      <c r="HO374" s="133"/>
      <c r="HP374" s="133"/>
      <c r="HQ374" s="133"/>
      <c r="HR374" s="133"/>
      <c r="HS374" s="133"/>
      <c r="HT374" s="133"/>
      <c r="HU374" s="133"/>
      <c r="HV374" s="133"/>
      <c r="HW374" s="133"/>
      <c r="HX374" s="133"/>
      <c r="HY374" s="133"/>
      <c r="HZ374" s="133"/>
      <c r="IA374" s="133"/>
      <c r="IB374" s="133"/>
      <c r="IC374" s="133"/>
      <c r="ID374" s="133"/>
      <c r="IE374" s="133"/>
      <c r="IF374" s="133"/>
      <c r="IG374" s="133"/>
      <c r="IH374" s="133"/>
      <c r="II374" s="133"/>
      <c r="IJ374" s="133"/>
      <c r="IK374" s="133"/>
      <c r="IL374" s="133"/>
      <c r="IM374" s="133"/>
      <c r="IN374" s="133"/>
      <c r="IO374" s="133"/>
      <c r="IP374" s="133"/>
      <c r="IQ374" s="133"/>
      <c r="IR374" s="133"/>
      <c r="IS374" s="133"/>
      <c r="IT374" s="133"/>
      <c r="IU374" s="133"/>
      <c r="IV374" s="133"/>
    </row>
    <row r="375" spans="1:256" s="132" customFormat="1" ht="13.8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GE375" s="133"/>
      <c r="GF375" s="133"/>
      <c r="GG375" s="133"/>
      <c r="GH375" s="133"/>
      <c r="GI375" s="133"/>
      <c r="GJ375" s="133"/>
      <c r="GK375" s="133"/>
      <c r="GL375" s="133"/>
      <c r="GM375" s="133"/>
      <c r="GN375" s="133"/>
      <c r="GO375" s="133"/>
      <c r="GP375" s="133"/>
      <c r="GQ375" s="133"/>
      <c r="GR375" s="133"/>
      <c r="GS375" s="133"/>
      <c r="GT375" s="133"/>
      <c r="GU375" s="133"/>
      <c r="GV375" s="133"/>
      <c r="GW375" s="133"/>
      <c r="GX375" s="133"/>
      <c r="GY375" s="133"/>
      <c r="GZ375" s="133"/>
      <c r="HA375" s="133"/>
      <c r="HB375" s="133"/>
      <c r="HC375" s="133"/>
      <c r="HD375" s="133"/>
      <c r="HE375" s="133"/>
      <c r="HF375" s="133"/>
      <c r="HG375" s="133"/>
      <c r="HH375" s="133"/>
      <c r="HI375" s="133"/>
      <c r="HJ375" s="133"/>
      <c r="HK375" s="133"/>
      <c r="HL375" s="133"/>
      <c r="HM375" s="133"/>
      <c r="HN375" s="133"/>
      <c r="HO375" s="133"/>
      <c r="HP375" s="133"/>
      <c r="HQ375" s="133"/>
      <c r="HR375" s="133"/>
      <c r="HS375" s="133"/>
      <c r="HT375" s="133"/>
      <c r="HU375" s="133"/>
      <c r="HV375" s="133"/>
      <c r="HW375" s="133"/>
      <c r="HX375" s="133"/>
      <c r="HY375" s="133"/>
      <c r="HZ375" s="133"/>
      <c r="IA375" s="133"/>
      <c r="IB375" s="133"/>
      <c r="IC375" s="133"/>
      <c r="ID375" s="133"/>
      <c r="IE375" s="133"/>
      <c r="IF375" s="133"/>
      <c r="IG375" s="133"/>
      <c r="IH375" s="133"/>
      <c r="II375" s="133"/>
      <c r="IJ375" s="133"/>
      <c r="IK375" s="133"/>
      <c r="IL375" s="133"/>
      <c r="IM375" s="133"/>
      <c r="IN375" s="133"/>
      <c r="IO375" s="133"/>
      <c r="IP375" s="133"/>
      <c r="IQ375" s="133"/>
      <c r="IR375" s="133"/>
      <c r="IS375" s="133"/>
      <c r="IT375" s="133"/>
      <c r="IU375" s="133"/>
      <c r="IV375" s="133"/>
    </row>
    <row r="376" spans="1:256" s="132" customFormat="1" ht="13.8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GE376" s="133"/>
      <c r="GF376" s="133"/>
      <c r="GG376" s="133"/>
      <c r="GH376" s="133"/>
      <c r="GI376" s="133"/>
      <c r="GJ376" s="133"/>
      <c r="GK376" s="133"/>
      <c r="GL376" s="133"/>
      <c r="GM376" s="133"/>
      <c r="GN376" s="133"/>
      <c r="GO376" s="133"/>
      <c r="GP376" s="133"/>
      <c r="GQ376" s="133"/>
      <c r="GR376" s="133"/>
      <c r="GS376" s="133"/>
      <c r="GT376" s="133"/>
      <c r="GU376" s="133"/>
      <c r="GV376" s="133"/>
      <c r="GW376" s="133"/>
      <c r="GX376" s="133"/>
      <c r="GY376" s="133"/>
      <c r="GZ376" s="133"/>
      <c r="HA376" s="133"/>
      <c r="HB376" s="133"/>
      <c r="HC376" s="133"/>
      <c r="HD376" s="133"/>
      <c r="HE376" s="133"/>
      <c r="HF376" s="133"/>
      <c r="HG376" s="133"/>
      <c r="HH376" s="133"/>
      <c r="HI376" s="133"/>
      <c r="HJ376" s="133"/>
      <c r="HK376" s="133"/>
      <c r="HL376" s="133"/>
      <c r="HM376" s="133"/>
      <c r="HN376" s="133"/>
      <c r="HO376" s="133"/>
      <c r="HP376" s="133"/>
      <c r="HQ376" s="133"/>
      <c r="HR376" s="133"/>
      <c r="HS376" s="133"/>
      <c r="HT376" s="133"/>
      <c r="HU376" s="133"/>
      <c r="HV376" s="133"/>
      <c r="HW376" s="133"/>
      <c r="HX376" s="133"/>
      <c r="HY376" s="133"/>
      <c r="HZ376" s="133"/>
      <c r="IA376" s="133"/>
      <c r="IB376" s="133"/>
      <c r="IC376" s="133"/>
      <c r="ID376" s="133"/>
      <c r="IE376" s="133"/>
      <c r="IF376" s="133"/>
      <c r="IG376" s="133"/>
      <c r="IH376" s="133"/>
      <c r="II376" s="133"/>
      <c r="IJ376" s="133"/>
      <c r="IK376" s="133"/>
      <c r="IL376" s="133"/>
      <c r="IM376" s="133"/>
      <c r="IN376" s="133"/>
      <c r="IO376" s="133"/>
      <c r="IP376" s="133"/>
      <c r="IQ376" s="133"/>
      <c r="IR376" s="133"/>
      <c r="IS376" s="133"/>
      <c r="IT376" s="133"/>
      <c r="IU376" s="133"/>
      <c r="IV376" s="133"/>
    </row>
    <row r="377" spans="1:256" s="132" customFormat="1" ht="13.8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GE377" s="133"/>
      <c r="GF377" s="133"/>
      <c r="GG377" s="133"/>
      <c r="GH377" s="133"/>
      <c r="GI377" s="133"/>
      <c r="GJ377" s="133"/>
      <c r="GK377" s="133"/>
      <c r="GL377" s="133"/>
      <c r="GM377" s="133"/>
      <c r="GN377" s="133"/>
      <c r="GO377" s="133"/>
      <c r="GP377" s="133"/>
      <c r="GQ377" s="133"/>
      <c r="GR377" s="133"/>
      <c r="GS377" s="133"/>
      <c r="GT377" s="133"/>
      <c r="GU377" s="133"/>
      <c r="GV377" s="133"/>
      <c r="GW377" s="133"/>
      <c r="GX377" s="133"/>
      <c r="GY377" s="133"/>
      <c r="GZ377" s="133"/>
      <c r="HA377" s="133"/>
      <c r="HB377" s="133"/>
      <c r="HC377" s="133"/>
      <c r="HD377" s="133"/>
      <c r="HE377" s="133"/>
      <c r="HF377" s="133"/>
      <c r="HG377" s="133"/>
      <c r="HH377" s="133"/>
      <c r="HI377" s="133"/>
      <c r="HJ377" s="133"/>
      <c r="HK377" s="133"/>
      <c r="HL377" s="133"/>
      <c r="HM377" s="133"/>
      <c r="HN377" s="133"/>
      <c r="HO377" s="133"/>
      <c r="HP377" s="133"/>
      <c r="HQ377" s="133"/>
      <c r="HR377" s="133"/>
      <c r="HS377" s="133"/>
      <c r="HT377" s="133"/>
      <c r="HU377" s="133"/>
      <c r="HV377" s="133"/>
      <c r="HW377" s="133"/>
      <c r="HX377" s="133"/>
      <c r="HY377" s="133"/>
      <c r="HZ377" s="133"/>
      <c r="IA377" s="133"/>
      <c r="IB377" s="133"/>
      <c r="IC377" s="133"/>
      <c r="ID377" s="133"/>
      <c r="IE377" s="133"/>
      <c r="IF377" s="133"/>
      <c r="IG377" s="133"/>
      <c r="IH377" s="133"/>
      <c r="II377" s="133"/>
      <c r="IJ377" s="133"/>
      <c r="IK377" s="133"/>
      <c r="IL377" s="133"/>
      <c r="IM377" s="133"/>
      <c r="IN377" s="133"/>
      <c r="IO377" s="133"/>
      <c r="IP377" s="133"/>
      <c r="IQ377" s="133"/>
      <c r="IR377" s="133"/>
      <c r="IS377" s="133"/>
      <c r="IT377" s="133"/>
      <c r="IU377" s="133"/>
      <c r="IV377" s="133"/>
    </row>
    <row r="378" spans="1:256" s="132" customFormat="1" ht="13.8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GE378" s="133"/>
      <c r="GF378" s="133"/>
      <c r="GG378" s="133"/>
      <c r="GH378" s="133"/>
      <c r="GI378" s="133"/>
      <c r="GJ378" s="133"/>
      <c r="GK378" s="133"/>
      <c r="GL378" s="133"/>
      <c r="GM378" s="133"/>
      <c r="GN378" s="133"/>
      <c r="GO378" s="133"/>
      <c r="GP378" s="133"/>
      <c r="GQ378" s="133"/>
      <c r="GR378" s="133"/>
      <c r="GS378" s="133"/>
      <c r="GT378" s="133"/>
      <c r="GU378" s="133"/>
      <c r="GV378" s="133"/>
      <c r="GW378" s="133"/>
      <c r="GX378" s="133"/>
      <c r="GY378" s="133"/>
      <c r="GZ378" s="133"/>
      <c r="HA378" s="133"/>
      <c r="HB378" s="133"/>
      <c r="HC378" s="133"/>
      <c r="HD378" s="133"/>
      <c r="HE378" s="133"/>
      <c r="HF378" s="133"/>
      <c r="HG378" s="133"/>
      <c r="HH378" s="133"/>
      <c r="HI378" s="133"/>
      <c r="HJ378" s="133"/>
      <c r="HK378" s="133"/>
      <c r="HL378" s="133"/>
      <c r="HM378" s="133"/>
      <c r="HN378" s="133"/>
      <c r="HO378" s="133"/>
      <c r="HP378" s="133"/>
      <c r="HQ378" s="133"/>
      <c r="HR378" s="133"/>
      <c r="HS378" s="133"/>
      <c r="HT378" s="133"/>
      <c r="HU378" s="133"/>
      <c r="HV378" s="133"/>
      <c r="HW378" s="133"/>
      <c r="HX378" s="133"/>
      <c r="HY378" s="133"/>
      <c r="HZ378" s="133"/>
      <c r="IA378" s="133"/>
      <c r="IB378" s="133"/>
      <c r="IC378" s="133"/>
      <c r="ID378" s="133"/>
      <c r="IE378" s="133"/>
      <c r="IF378" s="133"/>
      <c r="IG378" s="133"/>
      <c r="IH378" s="133"/>
      <c r="II378" s="133"/>
      <c r="IJ378" s="133"/>
      <c r="IK378" s="133"/>
      <c r="IL378" s="133"/>
      <c r="IM378" s="133"/>
      <c r="IN378" s="133"/>
      <c r="IO378" s="133"/>
      <c r="IP378" s="133"/>
      <c r="IQ378" s="133"/>
      <c r="IR378" s="133"/>
      <c r="IS378" s="133"/>
      <c r="IT378" s="133"/>
      <c r="IU378" s="133"/>
      <c r="IV378" s="133"/>
    </row>
    <row r="379" spans="1:256" s="132" customFormat="1" ht="13.8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GE379" s="133"/>
      <c r="GF379" s="133"/>
      <c r="GG379" s="133"/>
      <c r="GH379" s="133"/>
      <c r="GI379" s="133"/>
      <c r="GJ379" s="133"/>
      <c r="GK379" s="133"/>
      <c r="GL379" s="133"/>
      <c r="GM379" s="133"/>
      <c r="GN379" s="133"/>
      <c r="GO379" s="133"/>
      <c r="GP379" s="133"/>
      <c r="GQ379" s="133"/>
      <c r="GR379" s="133"/>
      <c r="GS379" s="133"/>
      <c r="GT379" s="133"/>
      <c r="GU379" s="133"/>
      <c r="GV379" s="133"/>
      <c r="GW379" s="133"/>
      <c r="GX379" s="133"/>
      <c r="GY379" s="133"/>
      <c r="GZ379" s="133"/>
      <c r="HA379" s="133"/>
      <c r="HB379" s="133"/>
      <c r="HC379" s="133"/>
      <c r="HD379" s="133"/>
      <c r="HE379" s="133"/>
      <c r="HF379" s="133"/>
      <c r="HG379" s="133"/>
      <c r="HH379" s="133"/>
      <c r="HI379" s="133"/>
      <c r="HJ379" s="133"/>
      <c r="HK379" s="133"/>
      <c r="HL379" s="133"/>
      <c r="HM379" s="133"/>
      <c r="HN379" s="133"/>
      <c r="HO379" s="133"/>
      <c r="HP379" s="133"/>
      <c r="HQ379" s="133"/>
      <c r="HR379" s="133"/>
      <c r="HS379" s="133"/>
      <c r="HT379" s="133"/>
      <c r="HU379" s="133"/>
      <c r="HV379" s="133"/>
      <c r="HW379" s="133"/>
      <c r="HX379" s="133"/>
      <c r="HY379" s="133"/>
      <c r="HZ379" s="133"/>
      <c r="IA379" s="133"/>
      <c r="IB379" s="133"/>
      <c r="IC379" s="133"/>
      <c r="ID379" s="133"/>
      <c r="IE379" s="133"/>
      <c r="IF379" s="133"/>
      <c r="IG379" s="133"/>
      <c r="IH379" s="133"/>
      <c r="II379" s="133"/>
      <c r="IJ379" s="133"/>
      <c r="IK379" s="133"/>
      <c r="IL379" s="133"/>
      <c r="IM379" s="133"/>
      <c r="IN379" s="133"/>
      <c r="IO379" s="133"/>
      <c r="IP379" s="133"/>
      <c r="IQ379" s="133"/>
      <c r="IR379" s="133"/>
      <c r="IS379" s="133"/>
      <c r="IT379" s="133"/>
      <c r="IU379" s="133"/>
      <c r="IV379" s="133"/>
    </row>
    <row r="380" spans="1:256" s="132" customFormat="1" ht="13.8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GE380" s="133"/>
      <c r="GF380" s="133"/>
      <c r="GG380" s="133"/>
      <c r="GH380" s="133"/>
      <c r="GI380" s="133"/>
      <c r="GJ380" s="133"/>
      <c r="GK380" s="133"/>
      <c r="GL380" s="133"/>
      <c r="GM380" s="133"/>
      <c r="GN380" s="133"/>
      <c r="GO380" s="133"/>
      <c r="GP380" s="133"/>
      <c r="GQ380" s="133"/>
      <c r="GR380" s="133"/>
      <c r="GS380" s="133"/>
      <c r="GT380" s="133"/>
      <c r="GU380" s="133"/>
      <c r="GV380" s="133"/>
      <c r="GW380" s="133"/>
      <c r="GX380" s="133"/>
      <c r="GY380" s="133"/>
      <c r="GZ380" s="133"/>
      <c r="HA380" s="133"/>
      <c r="HB380" s="133"/>
      <c r="HC380" s="133"/>
      <c r="HD380" s="133"/>
      <c r="HE380" s="133"/>
      <c r="HF380" s="133"/>
      <c r="HG380" s="133"/>
      <c r="HH380" s="133"/>
      <c r="HI380" s="133"/>
      <c r="HJ380" s="133"/>
      <c r="HK380" s="133"/>
      <c r="HL380" s="133"/>
      <c r="HM380" s="133"/>
      <c r="HN380" s="133"/>
      <c r="HO380" s="133"/>
      <c r="HP380" s="133"/>
      <c r="HQ380" s="133"/>
      <c r="HR380" s="133"/>
      <c r="HS380" s="133"/>
      <c r="HT380" s="133"/>
      <c r="HU380" s="133"/>
      <c r="HV380" s="133"/>
      <c r="HW380" s="133"/>
      <c r="HX380" s="133"/>
      <c r="HY380" s="133"/>
      <c r="HZ380" s="133"/>
      <c r="IA380" s="133"/>
      <c r="IB380" s="133"/>
      <c r="IC380" s="133"/>
      <c r="ID380" s="133"/>
      <c r="IE380" s="133"/>
      <c r="IF380" s="133"/>
      <c r="IG380" s="133"/>
      <c r="IH380" s="133"/>
      <c r="II380" s="133"/>
      <c r="IJ380" s="133"/>
      <c r="IK380" s="133"/>
      <c r="IL380" s="133"/>
      <c r="IM380" s="133"/>
      <c r="IN380" s="133"/>
      <c r="IO380" s="133"/>
      <c r="IP380" s="133"/>
      <c r="IQ380" s="133"/>
      <c r="IR380" s="133"/>
      <c r="IS380" s="133"/>
      <c r="IT380" s="133"/>
      <c r="IU380" s="133"/>
      <c r="IV380" s="133"/>
    </row>
    <row r="381" spans="1:256" s="132" customFormat="1" ht="13.8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GE381" s="133"/>
      <c r="GF381" s="133"/>
      <c r="GG381" s="133"/>
      <c r="GH381" s="133"/>
      <c r="GI381" s="133"/>
      <c r="GJ381" s="133"/>
      <c r="GK381" s="133"/>
      <c r="GL381" s="133"/>
      <c r="GM381" s="133"/>
      <c r="GN381" s="133"/>
      <c r="GO381" s="133"/>
      <c r="GP381" s="133"/>
      <c r="GQ381" s="133"/>
      <c r="GR381" s="133"/>
      <c r="GS381" s="133"/>
      <c r="GT381" s="133"/>
      <c r="GU381" s="133"/>
      <c r="GV381" s="133"/>
      <c r="GW381" s="133"/>
      <c r="GX381" s="133"/>
      <c r="GY381" s="133"/>
      <c r="GZ381" s="133"/>
      <c r="HA381" s="133"/>
      <c r="HB381" s="133"/>
      <c r="HC381" s="133"/>
      <c r="HD381" s="133"/>
      <c r="HE381" s="133"/>
      <c r="HF381" s="133"/>
      <c r="HG381" s="133"/>
      <c r="HH381" s="133"/>
      <c r="HI381" s="133"/>
      <c r="HJ381" s="133"/>
      <c r="HK381" s="133"/>
      <c r="HL381" s="133"/>
      <c r="HM381" s="133"/>
      <c r="HN381" s="133"/>
      <c r="HO381" s="133"/>
      <c r="HP381" s="133"/>
      <c r="HQ381" s="133"/>
      <c r="HR381" s="133"/>
      <c r="HS381" s="133"/>
      <c r="HT381" s="133"/>
      <c r="HU381" s="133"/>
      <c r="HV381" s="133"/>
      <c r="HW381" s="133"/>
      <c r="HX381" s="133"/>
      <c r="HY381" s="133"/>
      <c r="HZ381" s="133"/>
      <c r="IA381" s="133"/>
      <c r="IB381" s="133"/>
      <c r="IC381" s="133"/>
      <c r="ID381" s="133"/>
      <c r="IE381" s="133"/>
      <c r="IF381" s="133"/>
      <c r="IG381" s="133"/>
      <c r="IH381" s="133"/>
      <c r="II381" s="133"/>
      <c r="IJ381" s="133"/>
      <c r="IK381" s="133"/>
      <c r="IL381" s="133"/>
      <c r="IM381" s="133"/>
      <c r="IN381" s="133"/>
      <c r="IO381" s="133"/>
      <c r="IP381" s="133"/>
      <c r="IQ381" s="133"/>
      <c r="IR381" s="133"/>
      <c r="IS381" s="133"/>
      <c r="IT381" s="133"/>
      <c r="IU381" s="133"/>
      <c r="IV381" s="133"/>
    </row>
    <row r="382" spans="1:256" s="132" customFormat="1" ht="13.8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GE382" s="133"/>
      <c r="GF382" s="133"/>
      <c r="GG382" s="133"/>
      <c r="GH382" s="133"/>
      <c r="GI382" s="133"/>
      <c r="GJ382" s="133"/>
      <c r="GK382" s="133"/>
      <c r="GL382" s="133"/>
      <c r="GM382" s="133"/>
      <c r="GN382" s="133"/>
      <c r="GO382" s="133"/>
      <c r="GP382" s="133"/>
      <c r="GQ382" s="133"/>
      <c r="GR382" s="133"/>
      <c r="GS382" s="133"/>
      <c r="GT382" s="133"/>
      <c r="GU382" s="133"/>
      <c r="GV382" s="133"/>
      <c r="GW382" s="133"/>
      <c r="GX382" s="133"/>
      <c r="GY382" s="133"/>
      <c r="GZ382" s="133"/>
      <c r="HA382" s="133"/>
      <c r="HB382" s="133"/>
      <c r="HC382" s="133"/>
      <c r="HD382" s="133"/>
      <c r="HE382" s="133"/>
      <c r="HF382" s="133"/>
      <c r="HG382" s="133"/>
      <c r="HH382" s="133"/>
      <c r="HI382" s="133"/>
      <c r="HJ382" s="133"/>
      <c r="HK382" s="133"/>
      <c r="HL382" s="133"/>
      <c r="HM382" s="133"/>
      <c r="HN382" s="133"/>
      <c r="HO382" s="133"/>
      <c r="HP382" s="133"/>
      <c r="HQ382" s="133"/>
      <c r="HR382" s="133"/>
      <c r="HS382" s="133"/>
      <c r="HT382" s="133"/>
      <c r="HU382" s="133"/>
      <c r="HV382" s="133"/>
      <c r="HW382" s="133"/>
      <c r="HX382" s="133"/>
      <c r="HY382" s="133"/>
      <c r="HZ382" s="133"/>
      <c r="IA382" s="133"/>
      <c r="IB382" s="133"/>
      <c r="IC382" s="133"/>
      <c r="ID382" s="133"/>
      <c r="IE382" s="133"/>
      <c r="IF382" s="133"/>
      <c r="IG382" s="133"/>
      <c r="IH382" s="133"/>
      <c r="II382" s="133"/>
      <c r="IJ382" s="133"/>
      <c r="IK382" s="133"/>
      <c r="IL382" s="133"/>
      <c r="IM382" s="133"/>
      <c r="IN382" s="133"/>
      <c r="IO382" s="133"/>
      <c r="IP382" s="133"/>
      <c r="IQ382" s="133"/>
      <c r="IR382" s="133"/>
      <c r="IS382" s="133"/>
      <c r="IT382" s="133"/>
      <c r="IU382" s="133"/>
      <c r="IV382" s="133"/>
    </row>
    <row r="383" spans="1:256" s="132" customFormat="1" ht="13.8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GE383" s="133"/>
      <c r="GF383" s="133"/>
      <c r="GG383" s="133"/>
      <c r="GH383" s="133"/>
      <c r="GI383" s="133"/>
      <c r="GJ383" s="133"/>
      <c r="GK383" s="133"/>
      <c r="GL383" s="133"/>
      <c r="GM383" s="133"/>
      <c r="GN383" s="133"/>
      <c r="GO383" s="133"/>
      <c r="GP383" s="133"/>
      <c r="GQ383" s="133"/>
      <c r="GR383" s="133"/>
      <c r="GS383" s="133"/>
      <c r="GT383" s="133"/>
      <c r="GU383" s="133"/>
      <c r="GV383" s="133"/>
      <c r="GW383" s="133"/>
      <c r="GX383" s="133"/>
      <c r="GY383" s="133"/>
      <c r="GZ383" s="133"/>
      <c r="HA383" s="133"/>
      <c r="HB383" s="133"/>
      <c r="HC383" s="133"/>
      <c r="HD383" s="133"/>
      <c r="HE383" s="133"/>
      <c r="HF383" s="133"/>
      <c r="HG383" s="133"/>
      <c r="HH383" s="133"/>
      <c r="HI383" s="133"/>
      <c r="HJ383" s="133"/>
      <c r="HK383" s="133"/>
      <c r="HL383" s="133"/>
      <c r="HM383" s="133"/>
      <c r="HN383" s="133"/>
      <c r="HO383" s="133"/>
      <c r="HP383" s="133"/>
      <c r="HQ383" s="133"/>
      <c r="HR383" s="133"/>
      <c r="HS383" s="133"/>
      <c r="HT383" s="133"/>
      <c r="HU383" s="133"/>
      <c r="HV383" s="133"/>
      <c r="HW383" s="133"/>
      <c r="HX383" s="133"/>
      <c r="HY383" s="133"/>
      <c r="HZ383" s="133"/>
      <c r="IA383" s="133"/>
      <c r="IB383" s="133"/>
      <c r="IC383" s="133"/>
      <c r="ID383" s="133"/>
      <c r="IE383" s="133"/>
      <c r="IF383" s="133"/>
      <c r="IG383" s="133"/>
      <c r="IH383" s="133"/>
      <c r="II383" s="133"/>
      <c r="IJ383" s="133"/>
      <c r="IK383" s="133"/>
      <c r="IL383" s="133"/>
      <c r="IM383" s="133"/>
      <c r="IN383" s="133"/>
      <c r="IO383" s="133"/>
      <c r="IP383" s="133"/>
      <c r="IQ383" s="133"/>
      <c r="IR383" s="133"/>
      <c r="IS383" s="133"/>
      <c r="IT383" s="133"/>
      <c r="IU383" s="133"/>
      <c r="IV383" s="133"/>
    </row>
    <row r="384" spans="1:256" s="132" customFormat="1" ht="13.8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GE384" s="133"/>
      <c r="GF384" s="133"/>
      <c r="GG384" s="133"/>
      <c r="GH384" s="133"/>
      <c r="GI384" s="133"/>
      <c r="GJ384" s="133"/>
      <c r="GK384" s="133"/>
      <c r="GL384" s="133"/>
      <c r="GM384" s="133"/>
      <c r="GN384" s="133"/>
      <c r="GO384" s="133"/>
      <c r="GP384" s="133"/>
      <c r="GQ384" s="133"/>
      <c r="GR384" s="133"/>
      <c r="GS384" s="133"/>
      <c r="GT384" s="133"/>
      <c r="GU384" s="133"/>
      <c r="GV384" s="133"/>
      <c r="GW384" s="133"/>
      <c r="GX384" s="133"/>
      <c r="GY384" s="133"/>
      <c r="GZ384" s="133"/>
      <c r="HA384" s="133"/>
      <c r="HB384" s="133"/>
      <c r="HC384" s="133"/>
      <c r="HD384" s="133"/>
      <c r="HE384" s="133"/>
      <c r="HF384" s="133"/>
      <c r="HG384" s="133"/>
      <c r="HH384" s="133"/>
      <c r="HI384" s="133"/>
      <c r="HJ384" s="133"/>
      <c r="HK384" s="133"/>
      <c r="HL384" s="133"/>
      <c r="HM384" s="133"/>
      <c r="HN384" s="133"/>
      <c r="HO384" s="133"/>
      <c r="HP384" s="133"/>
      <c r="HQ384" s="133"/>
      <c r="HR384" s="133"/>
      <c r="HS384" s="133"/>
      <c r="HT384" s="133"/>
      <c r="HU384" s="133"/>
      <c r="HV384" s="133"/>
      <c r="HW384" s="133"/>
      <c r="HX384" s="133"/>
      <c r="HY384" s="133"/>
      <c r="HZ384" s="133"/>
      <c r="IA384" s="133"/>
      <c r="IB384" s="133"/>
      <c r="IC384" s="133"/>
      <c r="ID384" s="133"/>
      <c r="IE384" s="133"/>
      <c r="IF384" s="133"/>
      <c r="IG384" s="133"/>
      <c r="IH384" s="133"/>
      <c r="II384" s="133"/>
      <c r="IJ384" s="133"/>
      <c r="IK384" s="133"/>
      <c r="IL384" s="133"/>
      <c r="IM384" s="133"/>
      <c r="IN384" s="133"/>
      <c r="IO384" s="133"/>
      <c r="IP384" s="133"/>
      <c r="IQ384" s="133"/>
      <c r="IR384" s="133"/>
      <c r="IS384" s="133"/>
      <c r="IT384" s="133"/>
      <c r="IU384" s="133"/>
      <c r="IV384" s="133"/>
    </row>
    <row r="385" spans="1:256" s="132" customFormat="1" ht="13.8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GE385" s="133"/>
      <c r="GF385" s="133"/>
      <c r="GG385" s="133"/>
      <c r="GH385" s="133"/>
      <c r="GI385" s="133"/>
      <c r="GJ385" s="133"/>
      <c r="GK385" s="133"/>
      <c r="GL385" s="133"/>
      <c r="GM385" s="133"/>
      <c r="GN385" s="133"/>
      <c r="GO385" s="133"/>
      <c r="GP385" s="133"/>
      <c r="GQ385" s="133"/>
      <c r="GR385" s="133"/>
      <c r="GS385" s="133"/>
      <c r="GT385" s="133"/>
      <c r="GU385" s="133"/>
      <c r="GV385" s="133"/>
      <c r="GW385" s="133"/>
      <c r="GX385" s="133"/>
      <c r="GY385" s="133"/>
      <c r="GZ385" s="133"/>
      <c r="HA385" s="133"/>
      <c r="HB385" s="133"/>
      <c r="HC385" s="133"/>
      <c r="HD385" s="133"/>
      <c r="HE385" s="133"/>
      <c r="HF385" s="133"/>
      <c r="HG385" s="133"/>
      <c r="HH385" s="133"/>
      <c r="HI385" s="133"/>
      <c r="HJ385" s="133"/>
      <c r="HK385" s="133"/>
      <c r="HL385" s="133"/>
      <c r="HM385" s="133"/>
      <c r="HN385" s="133"/>
      <c r="HO385" s="133"/>
      <c r="HP385" s="133"/>
      <c r="HQ385" s="133"/>
      <c r="HR385" s="133"/>
      <c r="HS385" s="133"/>
      <c r="HT385" s="133"/>
      <c r="HU385" s="133"/>
      <c r="HV385" s="133"/>
      <c r="HW385" s="133"/>
      <c r="HX385" s="133"/>
      <c r="HY385" s="133"/>
      <c r="HZ385" s="133"/>
      <c r="IA385" s="133"/>
      <c r="IB385" s="133"/>
      <c r="IC385" s="133"/>
      <c r="ID385" s="133"/>
      <c r="IE385" s="133"/>
      <c r="IF385" s="133"/>
      <c r="IG385" s="133"/>
      <c r="IH385" s="133"/>
      <c r="II385" s="133"/>
      <c r="IJ385" s="133"/>
      <c r="IK385" s="133"/>
      <c r="IL385" s="133"/>
      <c r="IM385" s="133"/>
      <c r="IN385" s="133"/>
      <c r="IO385" s="133"/>
      <c r="IP385" s="133"/>
      <c r="IQ385" s="133"/>
      <c r="IR385" s="133"/>
      <c r="IS385" s="133"/>
      <c r="IT385" s="133"/>
      <c r="IU385" s="133"/>
      <c r="IV385" s="133"/>
    </row>
    <row r="386" spans="1:256" s="132" customFormat="1" ht="13.8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GE386" s="133"/>
      <c r="GF386" s="133"/>
      <c r="GG386" s="133"/>
      <c r="GH386" s="133"/>
      <c r="GI386" s="133"/>
      <c r="GJ386" s="133"/>
      <c r="GK386" s="133"/>
      <c r="GL386" s="133"/>
      <c r="GM386" s="133"/>
      <c r="GN386" s="133"/>
      <c r="GO386" s="133"/>
      <c r="GP386" s="133"/>
      <c r="GQ386" s="133"/>
      <c r="GR386" s="133"/>
      <c r="GS386" s="133"/>
      <c r="GT386" s="133"/>
      <c r="GU386" s="133"/>
      <c r="GV386" s="133"/>
      <c r="GW386" s="133"/>
      <c r="GX386" s="133"/>
      <c r="GY386" s="133"/>
      <c r="GZ386" s="133"/>
      <c r="HA386" s="133"/>
      <c r="HB386" s="133"/>
      <c r="HC386" s="133"/>
      <c r="HD386" s="133"/>
      <c r="HE386" s="133"/>
      <c r="HF386" s="133"/>
      <c r="HG386" s="133"/>
      <c r="HH386" s="133"/>
      <c r="HI386" s="133"/>
      <c r="HJ386" s="133"/>
      <c r="HK386" s="133"/>
      <c r="HL386" s="133"/>
      <c r="HM386" s="133"/>
      <c r="HN386" s="133"/>
      <c r="HO386" s="133"/>
      <c r="HP386" s="133"/>
      <c r="HQ386" s="133"/>
      <c r="HR386" s="133"/>
      <c r="HS386" s="133"/>
      <c r="HT386" s="133"/>
      <c r="HU386" s="133"/>
      <c r="HV386" s="133"/>
      <c r="HW386" s="133"/>
      <c r="HX386" s="133"/>
      <c r="HY386" s="133"/>
      <c r="HZ386" s="133"/>
      <c r="IA386" s="133"/>
      <c r="IB386" s="133"/>
      <c r="IC386" s="133"/>
      <c r="ID386" s="133"/>
      <c r="IE386" s="133"/>
      <c r="IF386" s="133"/>
      <c r="IG386" s="133"/>
      <c r="IH386" s="133"/>
      <c r="II386" s="133"/>
      <c r="IJ386" s="133"/>
      <c r="IK386" s="133"/>
      <c r="IL386" s="133"/>
      <c r="IM386" s="133"/>
      <c r="IN386" s="133"/>
      <c r="IO386" s="133"/>
      <c r="IP386" s="133"/>
      <c r="IQ386" s="133"/>
      <c r="IR386" s="133"/>
      <c r="IS386" s="133"/>
      <c r="IT386" s="133"/>
      <c r="IU386" s="133"/>
      <c r="IV386" s="133"/>
    </row>
    <row r="387" spans="1:256" s="132" customFormat="1" ht="13.8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GE387" s="133"/>
      <c r="GF387" s="133"/>
      <c r="GG387" s="133"/>
      <c r="GH387" s="133"/>
      <c r="GI387" s="133"/>
      <c r="GJ387" s="133"/>
      <c r="GK387" s="133"/>
      <c r="GL387" s="133"/>
      <c r="GM387" s="133"/>
      <c r="GN387" s="133"/>
      <c r="GO387" s="133"/>
      <c r="GP387" s="133"/>
      <c r="GQ387" s="133"/>
      <c r="GR387" s="133"/>
      <c r="GS387" s="133"/>
      <c r="GT387" s="133"/>
      <c r="GU387" s="133"/>
      <c r="GV387" s="133"/>
      <c r="GW387" s="133"/>
      <c r="GX387" s="133"/>
      <c r="GY387" s="133"/>
      <c r="GZ387" s="133"/>
      <c r="HA387" s="133"/>
      <c r="HB387" s="133"/>
      <c r="HC387" s="133"/>
      <c r="HD387" s="133"/>
      <c r="HE387" s="133"/>
      <c r="HF387" s="133"/>
      <c r="HG387" s="133"/>
      <c r="HH387" s="133"/>
      <c r="HI387" s="133"/>
      <c r="HJ387" s="133"/>
      <c r="HK387" s="133"/>
      <c r="HL387" s="133"/>
      <c r="HM387" s="133"/>
      <c r="HN387" s="133"/>
      <c r="HO387" s="133"/>
      <c r="HP387" s="133"/>
      <c r="HQ387" s="133"/>
      <c r="HR387" s="133"/>
      <c r="HS387" s="133"/>
      <c r="HT387" s="133"/>
      <c r="HU387" s="133"/>
      <c r="HV387" s="133"/>
      <c r="HW387" s="133"/>
      <c r="HX387" s="133"/>
      <c r="HY387" s="133"/>
      <c r="HZ387" s="133"/>
      <c r="IA387" s="133"/>
      <c r="IB387" s="133"/>
      <c r="IC387" s="133"/>
      <c r="ID387" s="133"/>
      <c r="IE387" s="133"/>
      <c r="IF387" s="133"/>
      <c r="IG387" s="133"/>
      <c r="IH387" s="133"/>
      <c r="II387" s="133"/>
      <c r="IJ387" s="133"/>
      <c r="IK387" s="133"/>
      <c r="IL387" s="133"/>
      <c r="IM387" s="133"/>
      <c r="IN387" s="133"/>
      <c r="IO387" s="133"/>
      <c r="IP387" s="133"/>
      <c r="IQ387" s="133"/>
      <c r="IR387" s="133"/>
      <c r="IS387" s="133"/>
      <c r="IT387" s="133"/>
      <c r="IU387" s="133"/>
      <c r="IV387" s="133"/>
    </row>
    <row r="388" spans="1:256" s="132" customFormat="1" ht="13.8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GE388" s="133"/>
      <c r="GF388" s="133"/>
      <c r="GG388" s="133"/>
      <c r="GH388" s="133"/>
      <c r="GI388" s="133"/>
      <c r="GJ388" s="133"/>
      <c r="GK388" s="133"/>
      <c r="GL388" s="133"/>
      <c r="GM388" s="133"/>
      <c r="GN388" s="133"/>
      <c r="GO388" s="133"/>
      <c r="GP388" s="133"/>
      <c r="GQ388" s="133"/>
      <c r="GR388" s="133"/>
      <c r="GS388" s="133"/>
      <c r="GT388" s="133"/>
      <c r="GU388" s="133"/>
      <c r="GV388" s="133"/>
      <c r="GW388" s="133"/>
      <c r="GX388" s="133"/>
      <c r="GY388" s="133"/>
      <c r="GZ388" s="133"/>
      <c r="HA388" s="133"/>
      <c r="HB388" s="133"/>
      <c r="HC388" s="133"/>
      <c r="HD388" s="133"/>
      <c r="HE388" s="133"/>
      <c r="HF388" s="133"/>
      <c r="HG388" s="133"/>
      <c r="HH388" s="133"/>
      <c r="HI388" s="133"/>
      <c r="HJ388" s="133"/>
      <c r="HK388" s="133"/>
      <c r="HL388" s="133"/>
      <c r="HM388" s="133"/>
      <c r="HN388" s="133"/>
      <c r="HO388" s="133"/>
      <c r="HP388" s="133"/>
      <c r="HQ388" s="133"/>
      <c r="HR388" s="133"/>
      <c r="HS388" s="133"/>
      <c r="HT388" s="133"/>
      <c r="HU388" s="133"/>
      <c r="HV388" s="133"/>
      <c r="HW388" s="133"/>
      <c r="HX388" s="133"/>
      <c r="HY388" s="133"/>
      <c r="HZ388" s="133"/>
      <c r="IA388" s="133"/>
      <c r="IB388" s="133"/>
      <c r="IC388" s="133"/>
      <c r="ID388" s="133"/>
      <c r="IE388" s="133"/>
      <c r="IF388" s="133"/>
      <c r="IG388" s="133"/>
      <c r="IH388" s="133"/>
      <c r="II388" s="133"/>
      <c r="IJ388" s="133"/>
      <c r="IK388" s="133"/>
      <c r="IL388" s="133"/>
      <c r="IM388" s="133"/>
      <c r="IN388" s="133"/>
      <c r="IO388" s="133"/>
      <c r="IP388" s="133"/>
      <c r="IQ388" s="133"/>
      <c r="IR388" s="133"/>
      <c r="IS388" s="133"/>
      <c r="IT388" s="133"/>
      <c r="IU388" s="133"/>
      <c r="IV388" s="133"/>
    </row>
    <row r="389" spans="1:256" s="132" customFormat="1" ht="13.8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GE389" s="133"/>
      <c r="GF389" s="133"/>
      <c r="GG389" s="133"/>
      <c r="GH389" s="133"/>
      <c r="GI389" s="133"/>
      <c r="GJ389" s="133"/>
      <c r="GK389" s="133"/>
      <c r="GL389" s="133"/>
      <c r="GM389" s="133"/>
      <c r="GN389" s="133"/>
      <c r="GO389" s="133"/>
      <c r="GP389" s="133"/>
      <c r="GQ389" s="133"/>
      <c r="GR389" s="133"/>
      <c r="GS389" s="133"/>
      <c r="GT389" s="133"/>
      <c r="GU389" s="133"/>
      <c r="GV389" s="133"/>
      <c r="GW389" s="133"/>
      <c r="GX389" s="133"/>
      <c r="GY389" s="133"/>
      <c r="GZ389" s="133"/>
      <c r="HA389" s="133"/>
      <c r="HB389" s="133"/>
      <c r="HC389" s="133"/>
      <c r="HD389" s="133"/>
      <c r="HE389" s="133"/>
      <c r="HF389" s="133"/>
      <c r="HG389" s="133"/>
      <c r="HH389" s="133"/>
      <c r="HI389" s="133"/>
      <c r="HJ389" s="133"/>
      <c r="HK389" s="133"/>
      <c r="HL389" s="133"/>
      <c r="HM389" s="133"/>
      <c r="HN389" s="133"/>
      <c r="HO389" s="133"/>
      <c r="HP389" s="133"/>
      <c r="HQ389" s="133"/>
      <c r="HR389" s="133"/>
      <c r="HS389" s="133"/>
      <c r="HT389" s="133"/>
      <c r="HU389" s="133"/>
      <c r="HV389" s="133"/>
      <c r="HW389" s="133"/>
      <c r="HX389" s="133"/>
      <c r="HY389" s="133"/>
      <c r="HZ389" s="133"/>
      <c r="IA389" s="133"/>
      <c r="IB389" s="133"/>
      <c r="IC389" s="133"/>
      <c r="ID389" s="133"/>
      <c r="IE389" s="133"/>
      <c r="IF389" s="133"/>
      <c r="IG389" s="133"/>
      <c r="IH389" s="133"/>
      <c r="II389" s="133"/>
      <c r="IJ389" s="133"/>
      <c r="IK389" s="133"/>
      <c r="IL389" s="133"/>
      <c r="IM389" s="133"/>
      <c r="IN389" s="133"/>
      <c r="IO389" s="133"/>
      <c r="IP389" s="133"/>
      <c r="IQ389" s="133"/>
      <c r="IR389" s="133"/>
      <c r="IS389" s="133"/>
      <c r="IT389" s="133"/>
      <c r="IU389" s="133"/>
      <c r="IV389" s="133"/>
    </row>
    <row r="390" spans="1:256" s="132" customFormat="1" ht="13.8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GE390" s="133"/>
      <c r="GF390" s="133"/>
      <c r="GG390" s="133"/>
      <c r="GH390" s="133"/>
      <c r="GI390" s="133"/>
      <c r="GJ390" s="133"/>
      <c r="GK390" s="133"/>
      <c r="GL390" s="133"/>
      <c r="GM390" s="133"/>
      <c r="GN390" s="133"/>
      <c r="GO390" s="133"/>
      <c r="GP390" s="133"/>
      <c r="GQ390" s="133"/>
      <c r="GR390" s="133"/>
      <c r="GS390" s="133"/>
      <c r="GT390" s="133"/>
      <c r="GU390" s="133"/>
      <c r="GV390" s="133"/>
      <c r="GW390" s="133"/>
      <c r="GX390" s="133"/>
      <c r="GY390" s="133"/>
      <c r="GZ390" s="133"/>
      <c r="HA390" s="133"/>
      <c r="HB390" s="133"/>
      <c r="HC390" s="133"/>
      <c r="HD390" s="133"/>
      <c r="HE390" s="133"/>
      <c r="HF390" s="133"/>
      <c r="HG390" s="133"/>
      <c r="HH390" s="133"/>
      <c r="HI390" s="133"/>
      <c r="HJ390" s="133"/>
      <c r="HK390" s="133"/>
      <c r="HL390" s="133"/>
      <c r="HM390" s="133"/>
      <c r="HN390" s="133"/>
      <c r="HO390" s="133"/>
      <c r="HP390" s="133"/>
      <c r="HQ390" s="133"/>
      <c r="HR390" s="133"/>
      <c r="HS390" s="133"/>
      <c r="HT390" s="133"/>
      <c r="HU390" s="133"/>
      <c r="HV390" s="133"/>
      <c r="HW390" s="133"/>
      <c r="HX390" s="133"/>
      <c r="HY390" s="133"/>
      <c r="HZ390" s="133"/>
      <c r="IA390" s="133"/>
      <c r="IB390" s="133"/>
      <c r="IC390" s="133"/>
      <c r="ID390" s="133"/>
      <c r="IE390" s="133"/>
      <c r="IF390" s="133"/>
      <c r="IG390" s="133"/>
      <c r="IH390" s="133"/>
      <c r="II390" s="133"/>
      <c r="IJ390" s="133"/>
      <c r="IK390" s="133"/>
      <c r="IL390" s="133"/>
      <c r="IM390" s="133"/>
      <c r="IN390" s="133"/>
      <c r="IO390" s="133"/>
      <c r="IP390" s="133"/>
      <c r="IQ390" s="133"/>
      <c r="IR390" s="133"/>
      <c r="IS390" s="133"/>
      <c r="IT390" s="133"/>
      <c r="IU390" s="133"/>
      <c r="IV390" s="133"/>
    </row>
    <row r="391" spans="1:256" s="132" customFormat="1" ht="13.8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GE391" s="133"/>
      <c r="GF391" s="133"/>
      <c r="GG391" s="133"/>
      <c r="GH391" s="133"/>
      <c r="GI391" s="133"/>
      <c r="GJ391" s="133"/>
      <c r="GK391" s="133"/>
      <c r="GL391" s="133"/>
      <c r="GM391" s="133"/>
      <c r="GN391" s="133"/>
      <c r="GO391" s="133"/>
      <c r="GP391" s="133"/>
      <c r="GQ391" s="133"/>
      <c r="GR391" s="133"/>
      <c r="GS391" s="133"/>
      <c r="GT391" s="133"/>
      <c r="GU391" s="133"/>
      <c r="GV391" s="133"/>
      <c r="GW391" s="133"/>
      <c r="GX391" s="133"/>
      <c r="GY391" s="133"/>
      <c r="GZ391" s="133"/>
      <c r="HA391" s="133"/>
      <c r="HB391" s="133"/>
      <c r="HC391" s="133"/>
      <c r="HD391" s="133"/>
      <c r="HE391" s="133"/>
      <c r="HF391" s="133"/>
      <c r="HG391" s="133"/>
      <c r="HH391" s="133"/>
      <c r="HI391" s="133"/>
      <c r="HJ391" s="133"/>
      <c r="HK391" s="133"/>
      <c r="HL391" s="133"/>
      <c r="HM391" s="133"/>
      <c r="HN391" s="133"/>
      <c r="HO391" s="133"/>
      <c r="HP391" s="133"/>
      <c r="HQ391" s="133"/>
      <c r="HR391" s="133"/>
      <c r="HS391" s="133"/>
      <c r="HT391" s="133"/>
      <c r="HU391" s="133"/>
      <c r="HV391" s="133"/>
      <c r="HW391" s="133"/>
      <c r="HX391" s="133"/>
      <c r="HY391" s="133"/>
      <c r="HZ391" s="133"/>
      <c r="IA391" s="133"/>
      <c r="IB391" s="133"/>
      <c r="IC391" s="133"/>
      <c r="ID391" s="133"/>
      <c r="IE391" s="133"/>
      <c r="IF391" s="133"/>
      <c r="IG391" s="133"/>
      <c r="IH391" s="133"/>
      <c r="II391" s="133"/>
      <c r="IJ391" s="133"/>
      <c r="IK391" s="133"/>
      <c r="IL391" s="133"/>
      <c r="IM391" s="133"/>
      <c r="IN391" s="133"/>
      <c r="IO391" s="133"/>
      <c r="IP391" s="133"/>
      <c r="IQ391" s="133"/>
      <c r="IR391" s="133"/>
      <c r="IS391" s="133"/>
      <c r="IT391" s="133"/>
      <c r="IU391" s="133"/>
      <c r="IV391" s="133"/>
    </row>
    <row r="392" spans="1:256" s="132" customFormat="1" ht="13.8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GE392" s="133"/>
      <c r="GF392" s="133"/>
      <c r="GG392" s="133"/>
      <c r="GH392" s="133"/>
      <c r="GI392" s="133"/>
      <c r="GJ392" s="133"/>
      <c r="GK392" s="133"/>
      <c r="GL392" s="133"/>
      <c r="GM392" s="133"/>
      <c r="GN392" s="133"/>
      <c r="GO392" s="133"/>
      <c r="GP392" s="133"/>
      <c r="GQ392" s="133"/>
      <c r="GR392" s="133"/>
      <c r="GS392" s="133"/>
      <c r="GT392" s="133"/>
      <c r="GU392" s="133"/>
      <c r="GV392" s="133"/>
      <c r="GW392" s="133"/>
      <c r="GX392" s="133"/>
      <c r="GY392" s="133"/>
      <c r="GZ392" s="133"/>
      <c r="HA392" s="133"/>
      <c r="HB392" s="133"/>
      <c r="HC392" s="133"/>
      <c r="HD392" s="133"/>
      <c r="HE392" s="133"/>
      <c r="HF392" s="133"/>
      <c r="HG392" s="133"/>
      <c r="HH392" s="133"/>
      <c r="HI392" s="133"/>
      <c r="HJ392" s="133"/>
      <c r="HK392" s="133"/>
      <c r="HL392" s="133"/>
      <c r="HM392" s="133"/>
      <c r="HN392" s="133"/>
      <c r="HO392" s="133"/>
      <c r="HP392" s="133"/>
      <c r="HQ392" s="133"/>
      <c r="HR392" s="133"/>
      <c r="HS392" s="133"/>
      <c r="HT392" s="133"/>
      <c r="HU392" s="133"/>
      <c r="HV392" s="133"/>
      <c r="HW392" s="133"/>
      <c r="HX392" s="133"/>
      <c r="HY392" s="133"/>
      <c r="HZ392" s="133"/>
      <c r="IA392" s="133"/>
      <c r="IB392" s="133"/>
      <c r="IC392" s="133"/>
      <c r="ID392" s="133"/>
      <c r="IE392" s="133"/>
      <c r="IF392" s="133"/>
      <c r="IG392" s="133"/>
      <c r="IH392" s="133"/>
      <c r="II392" s="133"/>
      <c r="IJ392" s="133"/>
      <c r="IK392" s="133"/>
      <c r="IL392" s="133"/>
      <c r="IM392" s="133"/>
      <c r="IN392" s="133"/>
      <c r="IO392" s="133"/>
      <c r="IP392" s="133"/>
      <c r="IQ392" s="133"/>
      <c r="IR392" s="133"/>
      <c r="IS392" s="133"/>
      <c r="IT392" s="133"/>
      <c r="IU392" s="133"/>
      <c r="IV392" s="133"/>
    </row>
    <row r="393" spans="1:256" s="132" customFormat="1" ht="13.8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GE393" s="133"/>
      <c r="GF393" s="133"/>
      <c r="GG393" s="133"/>
      <c r="GH393" s="133"/>
      <c r="GI393" s="133"/>
      <c r="GJ393" s="133"/>
      <c r="GK393" s="133"/>
      <c r="GL393" s="133"/>
      <c r="GM393" s="133"/>
      <c r="GN393" s="133"/>
      <c r="GO393" s="133"/>
      <c r="GP393" s="133"/>
      <c r="GQ393" s="133"/>
      <c r="GR393" s="133"/>
      <c r="GS393" s="133"/>
      <c r="GT393" s="133"/>
      <c r="GU393" s="133"/>
      <c r="GV393" s="133"/>
      <c r="GW393" s="133"/>
      <c r="GX393" s="133"/>
      <c r="GY393" s="133"/>
      <c r="GZ393" s="133"/>
      <c r="HA393" s="133"/>
      <c r="HB393" s="133"/>
      <c r="HC393" s="133"/>
      <c r="HD393" s="133"/>
      <c r="HE393" s="133"/>
      <c r="HF393" s="133"/>
      <c r="HG393" s="133"/>
      <c r="HH393" s="133"/>
      <c r="HI393" s="133"/>
      <c r="HJ393" s="133"/>
      <c r="HK393" s="133"/>
      <c r="HL393" s="133"/>
      <c r="HM393" s="133"/>
      <c r="HN393" s="133"/>
      <c r="HO393" s="133"/>
      <c r="HP393" s="133"/>
      <c r="HQ393" s="133"/>
      <c r="HR393" s="133"/>
      <c r="HS393" s="133"/>
      <c r="HT393" s="133"/>
      <c r="HU393" s="133"/>
      <c r="HV393" s="133"/>
      <c r="HW393" s="133"/>
      <c r="HX393" s="133"/>
      <c r="HY393" s="133"/>
      <c r="HZ393" s="133"/>
      <c r="IA393" s="133"/>
      <c r="IB393" s="133"/>
      <c r="IC393" s="133"/>
      <c r="ID393" s="133"/>
      <c r="IE393" s="133"/>
      <c r="IF393" s="133"/>
      <c r="IG393" s="133"/>
      <c r="IH393" s="133"/>
      <c r="II393" s="133"/>
      <c r="IJ393" s="133"/>
      <c r="IK393" s="133"/>
      <c r="IL393" s="133"/>
      <c r="IM393" s="133"/>
      <c r="IN393" s="133"/>
      <c r="IO393" s="133"/>
      <c r="IP393" s="133"/>
      <c r="IQ393" s="133"/>
      <c r="IR393" s="133"/>
      <c r="IS393" s="133"/>
      <c r="IT393" s="133"/>
      <c r="IU393" s="133"/>
      <c r="IV393" s="133"/>
    </row>
    <row r="394" spans="1:256" s="132" customFormat="1" ht="13.8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GE394" s="133"/>
      <c r="GF394" s="133"/>
      <c r="GG394" s="133"/>
      <c r="GH394" s="133"/>
      <c r="GI394" s="133"/>
      <c r="GJ394" s="133"/>
      <c r="GK394" s="133"/>
      <c r="GL394" s="133"/>
      <c r="GM394" s="133"/>
      <c r="GN394" s="133"/>
      <c r="GO394" s="133"/>
      <c r="GP394" s="133"/>
      <c r="GQ394" s="133"/>
      <c r="GR394" s="133"/>
      <c r="GS394" s="133"/>
      <c r="GT394" s="133"/>
      <c r="GU394" s="133"/>
      <c r="GV394" s="133"/>
      <c r="GW394" s="133"/>
      <c r="GX394" s="133"/>
      <c r="GY394" s="133"/>
      <c r="GZ394" s="133"/>
      <c r="HA394" s="133"/>
      <c r="HB394" s="133"/>
      <c r="HC394" s="133"/>
      <c r="HD394" s="133"/>
      <c r="HE394" s="133"/>
      <c r="HF394" s="133"/>
      <c r="HG394" s="133"/>
      <c r="HH394" s="133"/>
      <c r="HI394" s="133"/>
      <c r="HJ394" s="133"/>
      <c r="HK394" s="133"/>
      <c r="HL394" s="133"/>
      <c r="HM394" s="133"/>
      <c r="HN394" s="133"/>
      <c r="HO394" s="133"/>
      <c r="HP394" s="133"/>
      <c r="HQ394" s="133"/>
      <c r="HR394" s="133"/>
      <c r="HS394" s="133"/>
      <c r="HT394" s="133"/>
      <c r="HU394" s="133"/>
      <c r="HV394" s="133"/>
      <c r="HW394" s="133"/>
      <c r="HX394" s="133"/>
      <c r="HY394" s="133"/>
      <c r="HZ394" s="133"/>
      <c r="IA394" s="133"/>
      <c r="IB394" s="133"/>
      <c r="IC394" s="133"/>
      <c r="ID394" s="133"/>
      <c r="IE394" s="133"/>
      <c r="IF394" s="133"/>
      <c r="IG394" s="133"/>
      <c r="IH394" s="133"/>
      <c r="II394" s="133"/>
      <c r="IJ394" s="133"/>
      <c r="IK394" s="133"/>
      <c r="IL394" s="133"/>
      <c r="IM394" s="133"/>
      <c r="IN394" s="133"/>
      <c r="IO394" s="133"/>
      <c r="IP394" s="133"/>
      <c r="IQ394" s="133"/>
      <c r="IR394" s="133"/>
      <c r="IS394" s="133"/>
      <c r="IT394" s="133"/>
      <c r="IU394" s="133"/>
      <c r="IV394" s="133"/>
    </row>
    <row r="395" spans="1:256" s="132" customFormat="1" ht="13.8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GE395" s="133"/>
      <c r="GF395" s="133"/>
      <c r="GG395" s="133"/>
      <c r="GH395" s="133"/>
      <c r="GI395" s="133"/>
      <c r="GJ395" s="133"/>
      <c r="GK395" s="133"/>
      <c r="GL395" s="133"/>
      <c r="GM395" s="133"/>
      <c r="GN395" s="133"/>
      <c r="GO395" s="133"/>
      <c r="GP395" s="133"/>
      <c r="GQ395" s="133"/>
      <c r="GR395" s="133"/>
      <c r="GS395" s="133"/>
      <c r="GT395" s="133"/>
      <c r="GU395" s="133"/>
      <c r="GV395" s="133"/>
      <c r="GW395" s="133"/>
      <c r="GX395" s="133"/>
      <c r="GY395" s="133"/>
      <c r="GZ395" s="133"/>
      <c r="HA395" s="133"/>
      <c r="HB395" s="133"/>
      <c r="HC395" s="133"/>
      <c r="HD395" s="133"/>
      <c r="HE395" s="133"/>
      <c r="HF395" s="133"/>
      <c r="HG395" s="133"/>
      <c r="HH395" s="133"/>
      <c r="HI395" s="133"/>
      <c r="HJ395" s="133"/>
      <c r="HK395" s="133"/>
      <c r="HL395" s="133"/>
      <c r="HM395" s="133"/>
      <c r="HN395" s="133"/>
      <c r="HO395" s="133"/>
      <c r="HP395" s="133"/>
      <c r="HQ395" s="133"/>
      <c r="HR395" s="133"/>
      <c r="HS395" s="133"/>
      <c r="HT395" s="133"/>
      <c r="HU395" s="133"/>
      <c r="HV395" s="133"/>
      <c r="HW395" s="133"/>
      <c r="HX395" s="133"/>
      <c r="HY395" s="133"/>
      <c r="HZ395" s="133"/>
      <c r="IA395" s="133"/>
      <c r="IB395" s="133"/>
      <c r="IC395" s="133"/>
      <c r="ID395" s="133"/>
      <c r="IE395" s="133"/>
      <c r="IF395" s="133"/>
      <c r="IG395" s="133"/>
      <c r="IH395" s="133"/>
      <c r="II395" s="133"/>
      <c r="IJ395" s="133"/>
      <c r="IK395" s="133"/>
      <c r="IL395" s="133"/>
      <c r="IM395" s="133"/>
      <c r="IN395" s="133"/>
      <c r="IO395" s="133"/>
      <c r="IP395" s="133"/>
      <c r="IQ395" s="133"/>
      <c r="IR395" s="133"/>
      <c r="IS395" s="133"/>
      <c r="IT395" s="133"/>
      <c r="IU395" s="133"/>
      <c r="IV395" s="133"/>
    </row>
    <row r="396" spans="1:256" s="132" customFormat="1" ht="13.8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GE396" s="133"/>
      <c r="GF396" s="133"/>
      <c r="GG396" s="133"/>
      <c r="GH396" s="133"/>
      <c r="GI396" s="133"/>
      <c r="GJ396" s="133"/>
      <c r="GK396" s="133"/>
      <c r="GL396" s="133"/>
      <c r="GM396" s="133"/>
      <c r="GN396" s="133"/>
      <c r="GO396" s="133"/>
      <c r="GP396" s="133"/>
      <c r="GQ396" s="133"/>
      <c r="GR396" s="133"/>
      <c r="GS396" s="133"/>
      <c r="GT396" s="133"/>
      <c r="GU396" s="133"/>
      <c r="GV396" s="133"/>
      <c r="GW396" s="133"/>
      <c r="GX396" s="133"/>
      <c r="GY396" s="133"/>
      <c r="GZ396" s="133"/>
      <c r="HA396" s="133"/>
      <c r="HB396" s="133"/>
      <c r="HC396" s="133"/>
      <c r="HD396" s="133"/>
      <c r="HE396" s="133"/>
      <c r="HF396" s="133"/>
      <c r="HG396" s="133"/>
      <c r="HH396" s="133"/>
      <c r="HI396" s="133"/>
      <c r="HJ396" s="133"/>
      <c r="HK396" s="133"/>
      <c r="HL396" s="133"/>
      <c r="HM396" s="133"/>
      <c r="HN396" s="133"/>
      <c r="HO396" s="133"/>
      <c r="HP396" s="133"/>
      <c r="HQ396" s="133"/>
      <c r="HR396" s="133"/>
      <c r="HS396" s="133"/>
      <c r="HT396" s="133"/>
      <c r="HU396" s="133"/>
      <c r="HV396" s="133"/>
      <c r="HW396" s="133"/>
      <c r="HX396" s="133"/>
      <c r="HY396" s="133"/>
      <c r="HZ396" s="133"/>
      <c r="IA396" s="133"/>
      <c r="IB396" s="133"/>
      <c r="IC396" s="133"/>
      <c r="ID396" s="133"/>
      <c r="IE396" s="133"/>
      <c r="IF396" s="133"/>
      <c r="IG396" s="133"/>
      <c r="IH396" s="133"/>
      <c r="II396" s="133"/>
      <c r="IJ396" s="133"/>
      <c r="IK396" s="133"/>
      <c r="IL396" s="133"/>
      <c r="IM396" s="133"/>
      <c r="IN396" s="133"/>
      <c r="IO396" s="133"/>
      <c r="IP396" s="133"/>
      <c r="IQ396" s="133"/>
      <c r="IR396" s="133"/>
      <c r="IS396" s="133"/>
      <c r="IT396" s="133"/>
      <c r="IU396" s="133"/>
      <c r="IV396" s="133"/>
    </row>
    <row r="397" spans="1:256" s="132" customFormat="1" ht="13.8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GE397" s="133"/>
      <c r="GF397" s="133"/>
      <c r="GG397" s="133"/>
      <c r="GH397" s="133"/>
      <c r="GI397" s="133"/>
      <c r="GJ397" s="133"/>
      <c r="GK397" s="133"/>
      <c r="GL397" s="133"/>
      <c r="GM397" s="133"/>
      <c r="GN397" s="133"/>
      <c r="GO397" s="133"/>
      <c r="GP397" s="133"/>
      <c r="GQ397" s="133"/>
      <c r="GR397" s="133"/>
      <c r="GS397" s="133"/>
      <c r="GT397" s="133"/>
      <c r="GU397" s="133"/>
      <c r="GV397" s="133"/>
      <c r="GW397" s="133"/>
      <c r="GX397" s="133"/>
      <c r="GY397" s="133"/>
      <c r="GZ397" s="133"/>
      <c r="HA397" s="133"/>
      <c r="HB397" s="133"/>
      <c r="HC397" s="133"/>
      <c r="HD397" s="133"/>
      <c r="HE397" s="133"/>
      <c r="HF397" s="133"/>
      <c r="HG397" s="133"/>
      <c r="HH397" s="133"/>
      <c r="HI397" s="133"/>
      <c r="HJ397" s="133"/>
      <c r="HK397" s="133"/>
      <c r="HL397" s="133"/>
      <c r="HM397" s="133"/>
      <c r="HN397" s="133"/>
      <c r="HO397" s="133"/>
      <c r="HP397" s="133"/>
      <c r="HQ397" s="133"/>
      <c r="HR397" s="133"/>
      <c r="HS397" s="133"/>
      <c r="HT397" s="133"/>
      <c r="HU397" s="133"/>
      <c r="HV397" s="133"/>
      <c r="HW397" s="133"/>
      <c r="HX397" s="133"/>
      <c r="HY397" s="133"/>
      <c r="HZ397" s="133"/>
      <c r="IA397" s="133"/>
      <c r="IB397" s="133"/>
      <c r="IC397" s="133"/>
      <c r="ID397" s="133"/>
      <c r="IE397" s="133"/>
      <c r="IF397" s="133"/>
      <c r="IG397" s="133"/>
      <c r="IH397" s="133"/>
      <c r="II397" s="133"/>
      <c r="IJ397" s="133"/>
      <c r="IK397" s="133"/>
      <c r="IL397" s="133"/>
      <c r="IM397" s="133"/>
      <c r="IN397" s="133"/>
      <c r="IO397" s="133"/>
      <c r="IP397" s="133"/>
      <c r="IQ397" s="133"/>
      <c r="IR397" s="133"/>
      <c r="IS397" s="133"/>
      <c r="IT397" s="133"/>
      <c r="IU397" s="133"/>
      <c r="IV397" s="133"/>
    </row>
    <row r="398" spans="1:256" s="132" customFormat="1" ht="13.8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GE398" s="133"/>
      <c r="GF398" s="133"/>
      <c r="GG398" s="133"/>
      <c r="GH398" s="133"/>
      <c r="GI398" s="133"/>
      <c r="GJ398" s="133"/>
      <c r="GK398" s="133"/>
      <c r="GL398" s="133"/>
      <c r="GM398" s="133"/>
      <c r="GN398" s="133"/>
      <c r="GO398" s="133"/>
      <c r="GP398" s="133"/>
      <c r="GQ398" s="133"/>
      <c r="GR398" s="133"/>
      <c r="GS398" s="133"/>
      <c r="GT398" s="133"/>
      <c r="GU398" s="133"/>
      <c r="GV398" s="133"/>
      <c r="GW398" s="133"/>
      <c r="GX398" s="133"/>
      <c r="GY398" s="133"/>
      <c r="GZ398" s="133"/>
      <c r="HA398" s="133"/>
      <c r="HB398" s="133"/>
      <c r="HC398" s="133"/>
      <c r="HD398" s="133"/>
      <c r="HE398" s="133"/>
      <c r="HF398" s="133"/>
      <c r="HG398" s="133"/>
      <c r="HH398" s="133"/>
      <c r="HI398" s="133"/>
      <c r="HJ398" s="133"/>
      <c r="HK398" s="133"/>
      <c r="HL398" s="133"/>
      <c r="HM398" s="133"/>
      <c r="HN398" s="133"/>
      <c r="HO398" s="133"/>
      <c r="HP398" s="133"/>
      <c r="HQ398" s="133"/>
      <c r="HR398" s="133"/>
      <c r="HS398" s="133"/>
      <c r="HT398" s="133"/>
      <c r="HU398" s="133"/>
      <c r="HV398" s="133"/>
      <c r="HW398" s="133"/>
      <c r="HX398" s="133"/>
      <c r="HY398" s="133"/>
      <c r="HZ398" s="133"/>
      <c r="IA398" s="133"/>
      <c r="IB398" s="133"/>
      <c r="IC398" s="133"/>
      <c r="ID398" s="133"/>
      <c r="IE398" s="133"/>
      <c r="IF398" s="133"/>
      <c r="IG398" s="133"/>
      <c r="IH398" s="133"/>
      <c r="II398" s="133"/>
      <c r="IJ398" s="133"/>
      <c r="IK398" s="133"/>
      <c r="IL398" s="133"/>
      <c r="IM398" s="133"/>
      <c r="IN398" s="133"/>
      <c r="IO398" s="133"/>
      <c r="IP398" s="133"/>
      <c r="IQ398" s="133"/>
      <c r="IR398" s="133"/>
      <c r="IS398" s="133"/>
      <c r="IT398" s="133"/>
      <c r="IU398" s="133"/>
      <c r="IV398" s="133"/>
    </row>
    <row r="399" spans="1:256" s="132" customFormat="1" ht="13.8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GE399" s="133"/>
      <c r="GF399" s="133"/>
      <c r="GG399" s="133"/>
      <c r="GH399" s="133"/>
      <c r="GI399" s="133"/>
      <c r="GJ399" s="133"/>
      <c r="GK399" s="133"/>
      <c r="GL399" s="133"/>
      <c r="GM399" s="133"/>
      <c r="GN399" s="133"/>
      <c r="GO399" s="133"/>
      <c r="GP399" s="133"/>
      <c r="GQ399" s="133"/>
      <c r="GR399" s="133"/>
      <c r="GS399" s="133"/>
      <c r="GT399" s="133"/>
      <c r="GU399" s="133"/>
      <c r="GV399" s="133"/>
      <c r="GW399" s="133"/>
      <c r="GX399" s="133"/>
      <c r="GY399" s="133"/>
      <c r="GZ399" s="133"/>
      <c r="HA399" s="133"/>
      <c r="HB399" s="133"/>
      <c r="HC399" s="133"/>
      <c r="HD399" s="133"/>
      <c r="HE399" s="133"/>
      <c r="HF399" s="133"/>
      <c r="HG399" s="133"/>
      <c r="HH399" s="133"/>
      <c r="HI399" s="133"/>
      <c r="HJ399" s="133"/>
      <c r="HK399" s="133"/>
      <c r="HL399" s="133"/>
      <c r="HM399" s="133"/>
      <c r="HN399" s="133"/>
      <c r="HO399" s="133"/>
      <c r="HP399" s="133"/>
      <c r="HQ399" s="133"/>
      <c r="HR399" s="133"/>
      <c r="HS399" s="133"/>
      <c r="HT399" s="133"/>
      <c r="HU399" s="133"/>
      <c r="HV399" s="133"/>
      <c r="HW399" s="133"/>
      <c r="HX399" s="133"/>
      <c r="HY399" s="133"/>
      <c r="HZ399" s="133"/>
      <c r="IA399" s="133"/>
      <c r="IB399" s="133"/>
      <c r="IC399" s="133"/>
      <c r="ID399" s="133"/>
      <c r="IE399" s="133"/>
      <c r="IF399" s="133"/>
      <c r="IG399" s="133"/>
      <c r="IH399" s="133"/>
      <c r="II399" s="133"/>
      <c r="IJ399" s="133"/>
      <c r="IK399" s="133"/>
      <c r="IL399" s="133"/>
      <c r="IM399" s="133"/>
      <c r="IN399" s="133"/>
      <c r="IO399" s="133"/>
      <c r="IP399" s="133"/>
      <c r="IQ399" s="133"/>
      <c r="IR399" s="133"/>
      <c r="IS399" s="133"/>
      <c r="IT399" s="133"/>
      <c r="IU399" s="133"/>
      <c r="IV399" s="133"/>
    </row>
    <row r="400" spans="1:256" s="132" customFormat="1" ht="13.8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GE400" s="133"/>
      <c r="GF400" s="133"/>
      <c r="GG400" s="133"/>
      <c r="GH400" s="133"/>
      <c r="GI400" s="133"/>
      <c r="GJ400" s="133"/>
      <c r="GK400" s="133"/>
      <c r="GL400" s="133"/>
      <c r="GM400" s="133"/>
      <c r="GN400" s="133"/>
      <c r="GO400" s="133"/>
      <c r="GP400" s="133"/>
      <c r="GQ400" s="133"/>
      <c r="GR400" s="133"/>
      <c r="GS400" s="133"/>
      <c r="GT400" s="133"/>
      <c r="GU400" s="133"/>
      <c r="GV400" s="133"/>
      <c r="GW400" s="133"/>
      <c r="GX400" s="133"/>
      <c r="GY400" s="133"/>
      <c r="GZ400" s="133"/>
      <c r="HA400" s="133"/>
      <c r="HB400" s="133"/>
      <c r="HC400" s="133"/>
      <c r="HD400" s="133"/>
      <c r="HE400" s="133"/>
      <c r="HF400" s="133"/>
      <c r="HG400" s="133"/>
      <c r="HH400" s="133"/>
      <c r="HI400" s="133"/>
      <c r="HJ400" s="133"/>
      <c r="HK400" s="133"/>
      <c r="HL400" s="133"/>
      <c r="HM400" s="133"/>
      <c r="HN400" s="133"/>
      <c r="HO400" s="133"/>
      <c r="HP400" s="133"/>
      <c r="HQ400" s="133"/>
      <c r="HR400" s="133"/>
      <c r="HS400" s="133"/>
      <c r="HT400" s="133"/>
      <c r="HU400" s="133"/>
      <c r="HV400" s="133"/>
      <c r="HW400" s="133"/>
      <c r="HX400" s="133"/>
      <c r="HY400" s="133"/>
      <c r="HZ400" s="133"/>
      <c r="IA400" s="133"/>
      <c r="IB400" s="133"/>
      <c r="IC400" s="133"/>
      <c r="ID400" s="133"/>
      <c r="IE400" s="133"/>
      <c r="IF400" s="133"/>
      <c r="IG400" s="133"/>
      <c r="IH400" s="133"/>
      <c r="II400" s="133"/>
      <c r="IJ400" s="133"/>
      <c r="IK400" s="133"/>
      <c r="IL400" s="133"/>
      <c r="IM400" s="133"/>
      <c r="IN400" s="133"/>
      <c r="IO400" s="133"/>
      <c r="IP400" s="133"/>
      <c r="IQ400" s="133"/>
      <c r="IR400" s="133"/>
      <c r="IS400" s="133"/>
      <c r="IT400" s="133"/>
      <c r="IU400" s="133"/>
      <c r="IV400" s="133"/>
    </row>
    <row r="401" spans="1:256" s="132" customFormat="1" ht="13.8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GE401" s="133"/>
      <c r="GF401" s="133"/>
      <c r="GG401" s="133"/>
      <c r="GH401" s="133"/>
      <c r="GI401" s="133"/>
      <c r="GJ401" s="133"/>
      <c r="GK401" s="133"/>
      <c r="GL401" s="133"/>
      <c r="GM401" s="133"/>
      <c r="GN401" s="133"/>
      <c r="GO401" s="133"/>
      <c r="GP401" s="133"/>
      <c r="GQ401" s="133"/>
      <c r="GR401" s="133"/>
      <c r="GS401" s="133"/>
      <c r="GT401" s="133"/>
      <c r="GU401" s="133"/>
      <c r="GV401" s="133"/>
      <c r="GW401" s="133"/>
      <c r="GX401" s="133"/>
      <c r="GY401" s="133"/>
      <c r="GZ401" s="133"/>
      <c r="HA401" s="133"/>
      <c r="HB401" s="133"/>
      <c r="HC401" s="133"/>
      <c r="HD401" s="133"/>
      <c r="HE401" s="133"/>
      <c r="HF401" s="133"/>
      <c r="HG401" s="133"/>
      <c r="HH401" s="133"/>
      <c r="HI401" s="133"/>
      <c r="HJ401" s="133"/>
      <c r="HK401" s="133"/>
      <c r="HL401" s="133"/>
      <c r="HM401" s="133"/>
      <c r="HN401" s="133"/>
      <c r="HO401" s="133"/>
      <c r="HP401" s="133"/>
      <c r="HQ401" s="133"/>
      <c r="HR401" s="133"/>
      <c r="HS401" s="133"/>
      <c r="HT401" s="133"/>
      <c r="HU401" s="133"/>
      <c r="HV401" s="133"/>
      <c r="HW401" s="133"/>
      <c r="HX401" s="133"/>
      <c r="HY401" s="133"/>
      <c r="HZ401" s="133"/>
      <c r="IA401" s="133"/>
      <c r="IB401" s="133"/>
      <c r="IC401" s="133"/>
      <c r="ID401" s="133"/>
      <c r="IE401" s="133"/>
      <c r="IF401" s="133"/>
      <c r="IG401" s="133"/>
      <c r="IH401" s="133"/>
      <c r="II401" s="133"/>
      <c r="IJ401" s="133"/>
      <c r="IK401" s="133"/>
      <c r="IL401" s="133"/>
      <c r="IM401" s="133"/>
      <c r="IN401" s="133"/>
      <c r="IO401" s="133"/>
      <c r="IP401" s="133"/>
      <c r="IQ401" s="133"/>
      <c r="IR401" s="133"/>
      <c r="IS401" s="133"/>
      <c r="IT401" s="133"/>
      <c r="IU401" s="133"/>
      <c r="IV401" s="133"/>
    </row>
    <row r="402" spans="1:256" s="132" customFormat="1" ht="13.8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GE402" s="133"/>
      <c r="GF402" s="133"/>
      <c r="GG402" s="133"/>
      <c r="GH402" s="133"/>
      <c r="GI402" s="133"/>
      <c r="GJ402" s="133"/>
      <c r="GK402" s="133"/>
      <c r="GL402" s="133"/>
      <c r="GM402" s="133"/>
      <c r="GN402" s="133"/>
      <c r="GO402" s="133"/>
      <c r="GP402" s="133"/>
      <c r="GQ402" s="133"/>
      <c r="GR402" s="133"/>
      <c r="GS402" s="133"/>
      <c r="GT402" s="133"/>
      <c r="GU402" s="133"/>
      <c r="GV402" s="133"/>
      <c r="GW402" s="133"/>
      <c r="GX402" s="133"/>
      <c r="GY402" s="133"/>
      <c r="GZ402" s="133"/>
      <c r="HA402" s="133"/>
      <c r="HB402" s="133"/>
      <c r="HC402" s="133"/>
      <c r="HD402" s="133"/>
      <c r="HE402" s="133"/>
      <c r="HF402" s="133"/>
      <c r="HG402" s="133"/>
      <c r="HH402" s="133"/>
      <c r="HI402" s="133"/>
      <c r="HJ402" s="133"/>
      <c r="HK402" s="133"/>
      <c r="HL402" s="133"/>
      <c r="HM402" s="133"/>
      <c r="HN402" s="133"/>
      <c r="HO402" s="133"/>
      <c r="HP402" s="133"/>
      <c r="HQ402" s="133"/>
      <c r="HR402" s="133"/>
      <c r="HS402" s="133"/>
      <c r="HT402" s="133"/>
      <c r="HU402" s="133"/>
      <c r="HV402" s="133"/>
      <c r="HW402" s="133"/>
      <c r="HX402" s="133"/>
      <c r="HY402" s="133"/>
      <c r="HZ402" s="133"/>
      <c r="IA402" s="133"/>
      <c r="IB402" s="133"/>
      <c r="IC402" s="133"/>
      <c r="ID402" s="133"/>
      <c r="IE402" s="133"/>
      <c r="IF402" s="133"/>
      <c r="IG402" s="133"/>
      <c r="IH402" s="133"/>
      <c r="II402" s="133"/>
      <c r="IJ402" s="133"/>
      <c r="IK402" s="133"/>
      <c r="IL402" s="133"/>
      <c r="IM402" s="133"/>
      <c r="IN402" s="133"/>
      <c r="IO402" s="133"/>
      <c r="IP402" s="133"/>
      <c r="IQ402" s="133"/>
      <c r="IR402" s="133"/>
      <c r="IS402" s="133"/>
      <c r="IT402" s="133"/>
      <c r="IU402" s="133"/>
      <c r="IV402" s="133"/>
    </row>
    <row r="403" spans="1:256" s="132" customFormat="1" ht="13.8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GE403" s="133"/>
      <c r="GF403" s="133"/>
      <c r="GG403" s="133"/>
      <c r="GH403" s="133"/>
      <c r="GI403" s="133"/>
      <c r="GJ403" s="133"/>
      <c r="GK403" s="133"/>
      <c r="GL403" s="133"/>
      <c r="GM403" s="133"/>
      <c r="GN403" s="133"/>
      <c r="GO403" s="133"/>
      <c r="GP403" s="133"/>
      <c r="GQ403" s="133"/>
      <c r="GR403" s="133"/>
      <c r="GS403" s="133"/>
      <c r="GT403" s="133"/>
      <c r="GU403" s="133"/>
      <c r="GV403" s="133"/>
      <c r="GW403" s="133"/>
      <c r="GX403" s="133"/>
      <c r="GY403" s="133"/>
      <c r="GZ403" s="133"/>
      <c r="HA403" s="133"/>
      <c r="HB403" s="133"/>
      <c r="HC403" s="133"/>
      <c r="HD403" s="133"/>
      <c r="HE403" s="133"/>
      <c r="HF403" s="133"/>
      <c r="HG403" s="133"/>
      <c r="HH403" s="133"/>
      <c r="HI403" s="133"/>
      <c r="HJ403" s="133"/>
      <c r="HK403" s="133"/>
      <c r="HL403" s="133"/>
      <c r="HM403" s="133"/>
      <c r="HN403" s="133"/>
      <c r="HO403" s="133"/>
      <c r="HP403" s="133"/>
      <c r="HQ403" s="133"/>
      <c r="HR403" s="133"/>
      <c r="HS403" s="133"/>
      <c r="HT403" s="133"/>
      <c r="HU403" s="133"/>
      <c r="HV403" s="133"/>
      <c r="HW403" s="133"/>
      <c r="HX403" s="133"/>
      <c r="HY403" s="133"/>
      <c r="HZ403" s="133"/>
      <c r="IA403" s="133"/>
      <c r="IB403" s="133"/>
      <c r="IC403" s="133"/>
      <c r="ID403" s="133"/>
      <c r="IE403" s="133"/>
      <c r="IF403" s="133"/>
      <c r="IG403" s="133"/>
      <c r="IH403" s="133"/>
      <c r="II403" s="133"/>
      <c r="IJ403" s="133"/>
      <c r="IK403" s="133"/>
      <c r="IL403" s="133"/>
      <c r="IM403" s="133"/>
      <c r="IN403" s="133"/>
      <c r="IO403" s="133"/>
      <c r="IP403" s="133"/>
      <c r="IQ403" s="133"/>
      <c r="IR403" s="133"/>
      <c r="IS403" s="133"/>
      <c r="IT403" s="133"/>
      <c r="IU403" s="133"/>
      <c r="IV403" s="133"/>
    </row>
    <row r="404" spans="1:256" s="132" customFormat="1" ht="13.8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GE404" s="133"/>
      <c r="GF404" s="133"/>
      <c r="GG404" s="133"/>
      <c r="GH404" s="133"/>
      <c r="GI404" s="133"/>
      <c r="GJ404" s="133"/>
      <c r="GK404" s="133"/>
      <c r="GL404" s="133"/>
      <c r="GM404" s="133"/>
      <c r="GN404" s="133"/>
      <c r="GO404" s="133"/>
      <c r="GP404" s="133"/>
      <c r="GQ404" s="133"/>
      <c r="GR404" s="133"/>
      <c r="GS404" s="133"/>
      <c r="GT404" s="133"/>
      <c r="GU404" s="133"/>
      <c r="GV404" s="133"/>
      <c r="GW404" s="133"/>
      <c r="GX404" s="133"/>
      <c r="GY404" s="133"/>
      <c r="GZ404" s="133"/>
      <c r="HA404" s="133"/>
      <c r="HB404" s="133"/>
      <c r="HC404" s="133"/>
      <c r="HD404" s="133"/>
      <c r="HE404" s="133"/>
      <c r="HF404" s="133"/>
      <c r="HG404" s="133"/>
      <c r="HH404" s="133"/>
      <c r="HI404" s="133"/>
      <c r="HJ404" s="133"/>
      <c r="HK404" s="133"/>
      <c r="HL404" s="133"/>
      <c r="HM404" s="133"/>
      <c r="HN404" s="133"/>
      <c r="HO404" s="133"/>
      <c r="HP404" s="133"/>
      <c r="HQ404" s="133"/>
      <c r="HR404" s="133"/>
      <c r="HS404" s="133"/>
      <c r="HT404" s="133"/>
      <c r="HU404" s="133"/>
      <c r="HV404" s="133"/>
      <c r="HW404" s="133"/>
      <c r="HX404" s="133"/>
      <c r="HY404" s="133"/>
      <c r="HZ404" s="133"/>
      <c r="IA404" s="133"/>
      <c r="IB404" s="133"/>
      <c r="IC404" s="133"/>
      <c r="ID404" s="133"/>
      <c r="IE404" s="133"/>
      <c r="IF404" s="133"/>
      <c r="IG404" s="133"/>
      <c r="IH404" s="133"/>
      <c r="II404" s="133"/>
      <c r="IJ404" s="133"/>
      <c r="IK404" s="133"/>
      <c r="IL404" s="133"/>
      <c r="IM404" s="133"/>
      <c r="IN404" s="133"/>
      <c r="IO404" s="133"/>
      <c r="IP404" s="133"/>
      <c r="IQ404" s="133"/>
      <c r="IR404" s="133"/>
      <c r="IS404" s="133"/>
      <c r="IT404" s="133"/>
      <c r="IU404" s="133"/>
      <c r="IV404" s="133"/>
    </row>
    <row r="405" spans="1:256" s="132" customFormat="1" ht="13.8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GE405" s="133"/>
      <c r="GF405" s="133"/>
      <c r="GG405" s="133"/>
      <c r="GH405" s="133"/>
      <c r="GI405" s="133"/>
      <c r="GJ405" s="133"/>
      <c r="GK405" s="133"/>
      <c r="GL405" s="133"/>
      <c r="GM405" s="133"/>
      <c r="GN405" s="133"/>
      <c r="GO405" s="133"/>
      <c r="GP405" s="133"/>
      <c r="GQ405" s="133"/>
      <c r="GR405" s="133"/>
      <c r="GS405" s="133"/>
      <c r="GT405" s="133"/>
      <c r="GU405" s="133"/>
      <c r="GV405" s="133"/>
      <c r="GW405" s="133"/>
      <c r="GX405" s="133"/>
      <c r="GY405" s="133"/>
      <c r="GZ405" s="133"/>
      <c r="HA405" s="133"/>
      <c r="HB405" s="133"/>
      <c r="HC405" s="133"/>
      <c r="HD405" s="133"/>
      <c r="HE405" s="133"/>
      <c r="HF405" s="133"/>
      <c r="HG405" s="133"/>
      <c r="HH405" s="133"/>
      <c r="HI405" s="133"/>
      <c r="HJ405" s="133"/>
      <c r="HK405" s="133"/>
      <c r="HL405" s="133"/>
      <c r="HM405" s="133"/>
      <c r="HN405" s="133"/>
      <c r="HO405" s="133"/>
      <c r="HP405" s="133"/>
      <c r="HQ405" s="133"/>
      <c r="HR405" s="133"/>
      <c r="HS405" s="133"/>
      <c r="HT405" s="133"/>
      <c r="HU405" s="133"/>
      <c r="HV405" s="133"/>
      <c r="HW405" s="133"/>
      <c r="HX405" s="133"/>
      <c r="HY405" s="133"/>
      <c r="HZ405" s="133"/>
      <c r="IA405" s="133"/>
      <c r="IB405" s="133"/>
      <c r="IC405" s="133"/>
      <c r="ID405" s="133"/>
      <c r="IE405" s="133"/>
      <c r="IF405" s="133"/>
      <c r="IG405" s="133"/>
      <c r="IH405" s="133"/>
      <c r="II405" s="133"/>
      <c r="IJ405" s="133"/>
      <c r="IK405" s="133"/>
      <c r="IL405" s="133"/>
      <c r="IM405" s="133"/>
      <c r="IN405" s="133"/>
      <c r="IO405" s="133"/>
      <c r="IP405" s="133"/>
      <c r="IQ405" s="133"/>
      <c r="IR405" s="133"/>
      <c r="IS405" s="133"/>
      <c r="IT405" s="133"/>
      <c r="IU405" s="133"/>
      <c r="IV405" s="133"/>
    </row>
    <row r="406" spans="1:256" s="132" customFormat="1" ht="13.8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GE406" s="133"/>
      <c r="GF406" s="133"/>
      <c r="GG406" s="133"/>
      <c r="GH406" s="133"/>
      <c r="GI406" s="133"/>
      <c r="GJ406" s="133"/>
      <c r="GK406" s="133"/>
      <c r="GL406" s="133"/>
      <c r="GM406" s="133"/>
      <c r="GN406" s="133"/>
      <c r="GO406" s="133"/>
      <c r="GP406" s="133"/>
      <c r="GQ406" s="133"/>
      <c r="GR406" s="133"/>
      <c r="GS406" s="133"/>
      <c r="GT406" s="133"/>
      <c r="GU406" s="133"/>
      <c r="GV406" s="133"/>
      <c r="GW406" s="133"/>
      <c r="GX406" s="133"/>
      <c r="GY406" s="133"/>
      <c r="GZ406" s="133"/>
      <c r="HA406" s="133"/>
      <c r="HB406" s="133"/>
      <c r="HC406" s="133"/>
      <c r="HD406" s="133"/>
      <c r="HE406" s="133"/>
      <c r="HF406" s="133"/>
      <c r="HG406" s="133"/>
      <c r="HH406" s="133"/>
      <c r="HI406" s="133"/>
      <c r="HJ406" s="133"/>
      <c r="HK406" s="133"/>
      <c r="HL406" s="133"/>
      <c r="HM406" s="133"/>
      <c r="HN406" s="133"/>
      <c r="HO406" s="133"/>
      <c r="HP406" s="133"/>
      <c r="HQ406" s="133"/>
      <c r="HR406" s="133"/>
      <c r="HS406" s="133"/>
      <c r="HT406" s="133"/>
      <c r="HU406" s="133"/>
      <c r="HV406" s="133"/>
      <c r="HW406" s="133"/>
      <c r="HX406" s="133"/>
      <c r="HY406" s="133"/>
      <c r="HZ406" s="133"/>
      <c r="IA406" s="133"/>
      <c r="IB406" s="133"/>
      <c r="IC406" s="133"/>
      <c r="ID406" s="133"/>
      <c r="IE406" s="133"/>
      <c r="IF406" s="133"/>
      <c r="IG406" s="133"/>
      <c r="IH406" s="133"/>
      <c r="II406" s="133"/>
      <c r="IJ406" s="133"/>
      <c r="IK406" s="133"/>
      <c r="IL406" s="133"/>
      <c r="IM406" s="133"/>
      <c r="IN406" s="133"/>
      <c r="IO406" s="133"/>
      <c r="IP406" s="133"/>
      <c r="IQ406" s="133"/>
      <c r="IR406" s="133"/>
      <c r="IS406" s="133"/>
      <c r="IT406" s="133"/>
      <c r="IU406" s="133"/>
      <c r="IV406" s="133"/>
    </row>
    <row r="407" spans="1:256" s="132" customFormat="1" ht="13.8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GE407" s="133"/>
      <c r="GF407" s="133"/>
      <c r="GG407" s="133"/>
      <c r="GH407" s="133"/>
      <c r="GI407" s="133"/>
      <c r="GJ407" s="133"/>
      <c r="GK407" s="133"/>
      <c r="GL407" s="133"/>
      <c r="GM407" s="133"/>
      <c r="GN407" s="133"/>
      <c r="GO407" s="133"/>
      <c r="GP407" s="133"/>
      <c r="GQ407" s="133"/>
      <c r="GR407" s="133"/>
      <c r="GS407" s="133"/>
      <c r="GT407" s="133"/>
      <c r="GU407" s="133"/>
      <c r="GV407" s="133"/>
      <c r="GW407" s="133"/>
      <c r="GX407" s="133"/>
      <c r="GY407" s="133"/>
      <c r="GZ407" s="133"/>
      <c r="HA407" s="133"/>
      <c r="HB407" s="133"/>
      <c r="HC407" s="133"/>
      <c r="HD407" s="133"/>
      <c r="HE407" s="133"/>
      <c r="HF407" s="133"/>
      <c r="HG407" s="133"/>
      <c r="HH407" s="133"/>
      <c r="HI407" s="133"/>
      <c r="HJ407" s="133"/>
      <c r="HK407" s="133"/>
      <c r="HL407" s="133"/>
      <c r="HM407" s="133"/>
      <c r="HN407" s="133"/>
      <c r="HO407" s="133"/>
      <c r="HP407" s="133"/>
      <c r="HQ407" s="133"/>
      <c r="HR407" s="133"/>
      <c r="HS407" s="133"/>
      <c r="HT407" s="133"/>
      <c r="HU407" s="133"/>
      <c r="HV407" s="133"/>
      <c r="HW407" s="133"/>
      <c r="HX407" s="133"/>
      <c r="HY407" s="133"/>
      <c r="HZ407" s="133"/>
      <c r="IA407" s="133"/>
      <c r="IB407" s="133"/>
      <c r="IC407" s="133"/>
      <c r="ID407" s="133"/>
      <c r="IE407" s="133"/>
      <c r="IF407" s="133"/>
      <c r="IG407" s="133"/>
      <c r="IH407" s="133"/>
      <c r="II407" s="133"/>
      <c r="IJ407" s="133"/>
      <c r="IK407" s="133"/>
      <c r="IL407" s="133"/>
      <c r="IM407" s="133"/>
      <c r="IN407" s="133"/>
      <c r="IO407" s="133"/>
      <c r="IP407" s="133"/>
      <c r="IQ407" s="133"/>
      <c r="IR407" s="133"/>
      <c r="IS407" s="133"/>
      <c r="IT407" s="133"/>
      <c r="IU407" s="133"/>
      <c r="IV407" s="133"/>
    </row>
    <row r="408" spans="1:256" s="132" customFormat="1" ht="13.8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GE408" s="133"/>
      <c r="GF408" s="133"/>
      <c r="GG408" s="133"/>
      <c r="GH408" s="133"/>
      <c r="GI408" s="133"/>
      <c r="GJ408" s="133"/>
      <c r="GK408" s="133"/>
      <c r="GL408" s="133"/>
      <c r="GM408" s="133"/>
      <c r="GN408" s="133"/>
      <c r="GO408" s="133"/>
      <c r="GP408" s="133"/>
      <c r="GQ408" s="133"/>
      <c r="GR408" s="133"/>
      <c r="GS408" s="133"/>
      <c r="GT408" s="133"/>
      <c r="GU408" s="133"/>
      <c r="GV408" s="133"/>
      <c r="GW408" s="133"/>
      <c r="GX408" s="133"/>
      <c r="GY408" s="133"/>
      <c r="GZ408" s="133"/>
      <c r="HA408" s="133"/>
      <c r="HB408" s="133"/>
      <c r="HC408" s="133"/>
      <c r="HD408" s="133"/>
      <c r="HE408" s="133"/>
      <c r="HF408" s="133"/>
      <c r="HG408" s="133"/>
      <c r="HH408" s="133"/>
      <c r="HI408" s="133"/>
      <c r="HJ408" s="133"/>
      <c r="HK408" s="133"/>
      <c r="HL408" s="133"/>
      <c r="HM408" s="133"/>
      <c r="HN408" s="133"/>
      <c r="HO408" s="133"/>
      <c r="HP408" s="133"/>
      <c r="HQ408" s="133"/>
      <c r="HR408" s="133"/>
      <c r="HS408" s="133"/>
      <c r="HT408" s="133"/>
      <c r="HU408" s="133"/>
      <c r="HV408" s="133"/>
      <c r="HW408" s="133"/>
      <c r="HX408" s="133"/>
      <c r="HY408" s="133"/>
      <c r="HZ408" s="133"/>
      <c r="IA408" s="133"/>
      <c r="IB408" s="133"/>
      <c r="IC408" s="133"/>
      <c r="ID408" s="133"/>
      <c r="IE408" s="133"/>
      <c r="IF408" s="133"/>
      <c r="IG408" s="133"/>
      <c r="IH408" s="133"/>
      <c r="II408" s="133"/>
      <c r="IJ408" s="133"/>
      <c r="IK408" s="133"/>
      <c r="IL408" s="133"/>
      <c r="IM408" s="133"/>
      <c r="IN408" s="133"/>
      <c r="IO408" s="133"/>
      <c r="IP408" s="133"/>
      <c r="IQ408" s="133"/>
      <c r="IR408" s="133"/>
      <c r="IS408" s="133"/>
      <c r="IT408" s="133"/>
      <c r="IU408" s="133"/>
      <c r="IV408" s="133"/>
    </row>
    <row r="409" spans="1:256" s="132" customFormat="1" ht="13.8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GE409" s="133"/>
      <c r="GF409" s="133"/>
      <c r="GG409" s="133"/>
      <c r="GH409" s="133"/>
      <c r="GI409" s="133"/>
      <c r="GJ409" s="133"/>
      <c r="GK409" s="133"/>
      <c r="GL409" s="133"/>
      <c r="GM409" s="133"/>
      <c r="GN409" s="133"/>
      <c r="GO409" s="133"/>
      <c r="GP409" s="133"/>
      <c r="GQ409" s="133"/>
      <c r="GR409" s="133"/>
      <c r="GS409" s="133"/>
      <c r="GT409" s="133"/>
      <c r="GU409" s="133"/>
      <c r="GV409" s="133"/>
      <c r="GW409" s="133"/>
      <c r="GX409" s="133"/>
      <c r="GY409" s="133"/>
      <c r="GZ409" s="133"/>
      <c r="HA409" s="133"/>
      <c r="HB409" s="133"/>
      <c r="HC409" s="133"/>
      <c r="HD409" s="133"/>
      <c r="HE409" s="133"/>
      <c r="HF409" s="133"/>
      <c r="HG409" s="133"/>
      <c r="HH409" s="133"/>
      <c r="HI409" s="133"/>
      <c r="HJ409" s="133"/>
      <c r="HK409" s="133"/>
      <c r="HL409" s="133"/>
      <c r="HM409" s="133"/>
      <c r="HN409" s="133"/>
      <c r="HO409" s="133"/>
      <c r="HP409" s="133"/>
      <c r="HQ409" s="133"/>
      <c r="HR409" s="133"/>
      <c r="HS409" s="133"/>
      <c r="HT409" s="133"/>
      <c r="HU409" s="133"/>
      <c r="HV409" s="133"/>
      <c r="HW409" s="133"/>
      <c r="HX409" s="133"/>
      <c r="HY409" s="133"/>
      <c r="HZ409" s="133"/>
      <c r="IA409" s="133"/>
      <c r="IB409" s="133"/>
      <c r="IC409" s="133"/>
      <c r="ID409" s="133"/>
      <c r="IE409" s="133"/>
      <c r="IF409" s="133"/>
      <c r="IG409" s="133"/>
      <c r="IH409" s="133"/>
      <c r="II409" s="133"/>
      <c r="IJ409" s="133"/>
      <c r="IK409" s="133"/>
      <c r="IL409" s="133"/>
      <c r="IM409" s="133"/>
      <c r="IN409" s="133"/>
      <c r="IO409" s="133"/>
      <c r="IP409" s="133"/>
      <c r="IQ409" s="133"/>
      <c r="IR409" s="133"/>
      <c r="IS409" s="133"/>
      <c r="IT409" s="133"/>
      <c r="IU409" s="133"/>
      <c r="IV409" s="133"/>
    </row>
    <row r="410" spans="1:256" s="132" customFormat="1" ht="13.8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GE410" s="133"/>
      <c r="GF410" s="133"/>
      <c r="GG410" s="133"/>
      <c r="GH410" s="133"/>
      <c r="GI410" s="133"/>
      <c r="GJ410" s="133"/>
      <c r="GK410" s="133"/>
      <c r="GL410" s="133"/>
      <c r="GM410" s="133"/>
      <c r="GN410" s="133"/>
      <c r="GO410" s="133"/>
      <c r="GP410" s="133"/>
      <c r="GQ410" s="133"/>
      <c r="GR410" s="133"/>
      <c r="GS410" s="133"/>
      <c r="GT410" s="133"/>
      <c r="GU410" s="133"/>
      <c r="GV410" s="133"/>
      <c r="GW410" s="133"/>
      <c r="GX410" s="133"/>
      <c r="GY410" s="133"/>
      <c r="GZ410" s="133"/>
      <c r="HA410" s="133"/>
      <c r="HB410" s="133"/>
      <c r="HC410" s="133"/>
      <c r="HD410" s="133"/>
      <c r="HE410" s="133"/>
      <c r="HF410" s="133"/>
      <c r="HG410" s="133"/>
      <c r="HH410" s="133"/>
      <c r="HI410" s="133"/>
      <c r="HJ410" s="133"/>
      <c r="HK410" s="133"/>
      <c r="HL410" s="133"/>
      <c r="HM410" s="133"/>
      <c r="HN410" s="133"/>
      <c r="HO410" s="133"/>
      <c r="HP410" s="133"/>
      <c r="HQ410" s="133"/>
      <c r="HR410" s="133"/>
      <c r="HS410" s="133"/>
      <c r="HT410" s="133"/>
      <c r="HU410" s="133"/>
      <c r="HV410" s="133"/>
      <c r="HW410" s="133"/>
      <c r="HX410" s="133"/>
      <c r="HY410" s="133"/>
      <c r="HZ410" s="133"/>
      <c r="IA410" s="133"/>
      <c r="IB410" s="133"/>
      <c r="IC410" s="133"/>
      <c r="ID410" s="133"/>
      <c r="IE410" s="133"/>
      <c r="IF410" s="133"/>
      <c r="IG410" s="133"/>
      <c r="IH410" s="133"/>
      <c r="II410" s="133"/>
      <c r="IJ410" s="133"/>
      <c r="IK410" s="133"/>
      <c r="IL410" s="133"/>
      <c r="IM410" s="133"/>
      <c r="IN410" s="133"/>
      <c r="IO410" s="133"/>
      <c r="IP410" s="133"/>
      <c r="IQ410" s="133"/>
      <c r="IR410" s="133"/>
      <c r="IS410" s="133"/>
      <c r="IT410" s="133"/>
      <c r="IU410" s="133"/>
      <c r="IV410" s="133"/>
    </row>
    <row r="411" spans="1:256" s="132" customFormat="1" ht="13.8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GE411" s="133"/>
      <c r="GF411" s="133"/>
      <c r="GG411" s="133"/>
      <c r="GH411" s="133"/>
      <c r="GI411" s="133"/>
      <c r="GJ411" s="133"/>
      <c r="GK411" s="133"/>
      <c r="GL411" s="133"/>
      <c r="GM411" s="133"/>
      <c r="GN411" s="133"/>
      <c r="GO411" s="133"/>
      <c r="GP411" s="133"/>
      <c r="GQ411" s="133"/>
      <c r="GR411" s="133"/>
      <c r="GS411" s="133"/>
      <c r="GT411" s="133"/>
      <c r="GU411" s="133"/>
      <c r="GV411" s="133"/>
      <c r="GW411" s="133"/>
      <c r="GX411" s="133"/>
      <c r="GY411" s="133"/>
      <c r="GZ411" s="133"/>
      <c r="HA411" s="133"/>
      <c r="HB411" s="133"/>
      <c r="HC411" s="133"/>
      <c r="HD411" s="133"/>
      <c r="HE411" s="133"/>
      <c r="HF411" s="133"/>
      <c r="HG411" s="133"/>
      <c r="HH411" s="133"/>
      <c r="HI411" s="133"/>
      <c r="HJ411" s="133"/>
      <c r="HK411" s="133"/>
      <c r="HL411" s="133"/>
      <c r="HM411" s="133"/>
      <c r="HN411" s="133"/>
      <c r="HO411" s="133"/>
      <c r="HP411" s="133"/>
      <c r="HQ411" s="133"/>
      <c r="HR411" s="133"/>
      <c r="HS411" s="133"/>
      <c r="HT411" s="133"/>
      <c r="HU411" s="133"/>
      <c r="HV411" s="133"/>
      <c r="HW411" s="133"/>
      <c r="HX411" s="133"/>
      <c r="HY411" s="133"/>
      <c r="HZ411" s="133"/>
      <c r="IA411" s="133"/>
      <c r="IB411" s="133"/>
      <c r="IC411" s="133"/>
      <c r="ID411" s="133"/>
      <c r="IE411" s="133"/>
      <c r="IF411" s="133"/>
      <c r="IG411" s="133"/>
      <c r="IH411" s="133"/>
      <c r="II411" s="133"/>
      <c r="IJ411" s="133"/>
      <c r="IK411" s="133"/>
      <c r="IL411" s="133"/>
      <c r="IM411" s="133"/>
      <c r="IN411" s="133"/>
      <c r="IO411" s="133"/>
      <c r="IP411" s="133"/>
      <c r="IQ411" s="133"/>
      <c r="IR411" s="133"/>
      <c r="IS411" s="133"/>
      <c r="IT411" s="133"/>
      <c r="IU411" s="133"/>
      <c r="IV411" s="133"/>
    </row>
    <row r="412" spans="1:256" s="132" customFormat="1" ht="13.8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GE412" s="133"/>
      <c r="GF412" s="133"/>
      <c r="GG412" s="133"/>
      <c r="GH412" s="133"/>
      <c r="GI412" s="133"/>
      <c r="GJ412" s="133"/>
      <c r="GK412" s="133"/>
      <c r="GL412" s="133"/>
      <c r="GM412" s="133"/>
      <c r="GN412" s="133"/>
      <c r="GO412" s="133"/>
      <c r="GP412" s="133"/>
      <c r="GQ412" s="133"/>
      <c r="GR412" s="133"/>
      <c r="GS412" s="133"/>
      <c r="GT412" s="133"/>
      <c r="GU412" s="133"/>
      <c r="GV412" s="133"/>
      <c r="GW412" s="133"/>
      <c r="GX412" s="133"/>
      <c r="GY412" s="133"/>
      <c r="GZ412" s="133"/>
      <c r="HA412" s="133"/>
      <c r="HB412" s="133"/>
      <c r="HC412" s="133"/>
      <c r="HD412" s="133"/>
      <c r="HE412" s="133"/>
      <c r="HF412" s="133"/>
      <c r="HG412" s="133"/>
      <c r="HH412" s="133"/>
      <c r="HI412" s="133"/>
      <c r="HJ412" s="133"/>
      <c r="HK412" s="133"/>
      <c r="HL412" s="133"/>
      <c r="HM412" s="133"/>
      <c r="HN412" s="133"/>
      <c r="HO412" s="133"/>
      <c r="HP412" s="133"/>
      <c r="HQ412" s="133"/>
      <c r="HR412" s="133"/>
      <c r="HS412" s="133"/>
      <c r="HT412" s="133"/>
      <c r="HU412" s="133"/>
      <c r="HV412" s="133"/>
      <c r="HW412" s="133"/>
      <c r="HX412" s="133"/>
      <c r="HY412" s="133"/>
      <c r="HZ412" s="133"/>
      <c r="IA412" s="133"/>
      <c r="IB412" s="133"/>
      <c r="IC412" s="133"/>
      <c r="ID412" s="133"/>
      <c r="IE412" s="133"/>
      <c r="IF412" s="133"/>
      <c r="IG412" s="133"/>
      <c r="IH412" s="133"/>
      <c r="II412" s="133"/>
      <c r="IJ412" s="133"/>
      <c r="IK412" s="133"/>
      <c r="IL412" s="133"/>
      <c r="IM412" s="133"/>
      <c r="IN412" s="133"/>
      <c r="IO412" s="133"/>
      <c r="IP412" s="133"/>
      <c r="IQ412" s="133"/>
      <c r="IR412" s="133"/>
      <c r="IS412" s="133"/>
      <c r="IT412" s="133"/>
      <c r="IU412" s="133"/>
      <c r="IV412" s="133"/>
    </row>
    <row r="413" spans="1:256" s="132" customFormat="1" ht="13.8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GE413" s="133"/>
      <c r="GF413" s="133"/>
      <c r="GG413" s="133"/>
      <c r="GH413" s="133"/>
      <c r="GI413" s="133"/>
      <c r="GJ413" s="133"/>
      <c r="GK413" s="133"/>
      <c r="GL413" s="133"/>
      <c r="GM413" s="133"/>
      <c r="GN413" s="133"/>
      <c r="GO413" s="133"/>
      <c r="GP413" s="133"/>
      <c r="GQ413" s="133"/>
      <c r="GR413" s="133"/>
      <c r="GS413" s="133"/>
      <c r="GT413" s="133"/>
      <c r="GU413" s="133"/>
      <c r="GV413" s="133"/>
      <c r="GW413" s="133"/>
      <c r="GX413" s="133"/>
      <c r="GY413" s="133"/>
      <c r="GZ413" s="133"/>
      <c r="HA413" s="133"/>
      <c r="HB413" s="133"/>
      <c r="HC413" s="133"/>
      <c r="HD413" s="133"/>
      <c r="HE413" s="133"/>
      <c r="HF413" s="133"/>
      <c r="HG413" s="133"/>
      <c r="HH413" s="133"/>
      <c r="HI413" s="133"/>
      <c r="HJ413" s="133"/>
      <c r="HK413" s="133"/>
      <c r="HL413" s="133"/>
      <c r="HM413" s="133"/>
      <c r="HN413" s="133"/>
      <c r="HO413" s="133"/>
      <c r="HP413" s="133"/>
      <c r="HQ413" s="133"/>
      <c r="HR413" s="133"/>
      <c r="HS413" s="133"/>
      <c r="HT413" s="133"/>
      <c r="HU413" s="133"/>
      <c r="HV413" s="133"/>
      <c r="HW413" s="133"/>
      <c r="HX413" s="133"/>
      <c r="HY413" s="133"/>
      <c r="HZ413" s="133"/>
      <c r="IA413" s="133"/>
      <c r="IB413" s="133"/>
      <c r="IC413" s="133"/>
      <c r="ID413" s="133"/>
      <c r="IE413" s="133"/>
      <c r="IF413" s="133"/>
      <c r="IG413" s="133"/>
      <c r="IH413" s="133"/>
      <c r="II413" s="133"/>
      <c r="IJ413" s="133"/>
      <c r="IK413" s="133"/>
      <c r="IL413" s="133"/>
      <c r="IM413" s="133"/>
      <c r="IN413" s="133"/>
      <c r="IO413" s="133"/>
      <c r="IP413" s="133"/>
      <c r="IQ413" s="133"/>
      <c r="IR413" s="133"/>
      <c r="IS413" s="133"/>
      <c r="IT413" s="133"/>
      <c r="IU413" s="133"/>
      <c r="IV413" s="133"/>
    </row>
    <row r="414" spans="1:256" s="132" customFormat="1" ht="13.8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GE414" s="133"/>
      <c r="GF414" s="133"/>
      <c r="GG414" s="133"/>
      <c r="GH414" s="133"/>
      <c r="GI414" s="133"/>
      <c r="GJ414" s="133"/>
      <c r="GK414" s="133"/>
      <c r="GL414" s="133"/>
      <c r="GM414" s="133"/>
      <c r="GN414" s="133"/>
      <c r="GO414" s="133"/>
      <c r="GP414" s="133"/>
      <c r="GQ414" s="133"/>
      <c r="GR414" s="133"/>
      <c r="GS414" s="133"/>
      <c r="GT414" s="133"/>
      <c r="GU414" s="133"/>
      <c r="GV414" s="133"/>
      <c r="GW414" s="133"/>
      <c r="GX414" s="133"/>
      <c r="GY414" s="133"/>
      <c r="GZ414" s="133"/>
      <c r="HA414" s="133"/>
      <c r="HB414" s="133"/>
      <c r="HC414" s="133"/>
      <c r="HD414" s="133"/>
      <c r="HE414" s="133"/>
      <c r="HF414" s="133"/>
      <c r="HG414" s="133"/>
      <c r="HH414" s="133"/>
      <c r="HI414" s="133"/>
      <c r="HJ414" s="133"/>
      <c r="HK414" s="133"/>
      <c r="HL414" s="133"/>
      <c r="HM414" s="133"/>
      <c r="HN414" s="133"/>
      <c r="HO414" s="133"/>
      <c r="HP414" s="133"/>
      <c r="HQ414" s="133"/>
      <c r="HR414" s="133"/>
      <c r="HS414" s="133"/>
      <c r="HT414" s="133"/>
      <c r="HU414" s="133"/>
      <c r="HV414" s="133"/>
      <c r="HW414" s="133"/>
      <c r="HX414" s="133"/>
      <c r="HY414" s="133"/>
      <c r="HZ414" s="133"/>
      <c r="IA414" s="133"/>
      <c r="IB414" s="133"/>
      <c r="IC414" s="133"/>
      <c r="ID414" s="133"/>
      <c r="IE414" s="133"/>
      <c r="IF414" s="133"/>
      <c r="IG414" s="133"/>
      <c r="IH414" s="133"/>
      <c r="II414" s="133"/>
      <c r="IJ414" s="133"/>
      <c r="IK414" s="133"/>
      <c r="IL414" s="133"/>
      <c r="IM414" s="133"/>
      <c r="IN414" s="133"/>
      <c r="IO414" s="133"/>
      <c r="IP414" s="133"/>
      <c r="IQ414" s="133"/>
      <c r="IR414" s="133"/>
      <c r="IS414" s="133"/>
      <c r="IT414" s="133"/>
      <c r="IU414" s="133"/>
      <c r="IV414" s="133"/>
    </row>
    <row r="415" spans="1:256" s="132" customFormat="1" ht="13.8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GE415" s="133"/>
      <c r="GF415" s="133"/>
      <c r="GG415" s="133"/>
      <c r="GH415" s="133"/>
      <c r="GI415" s="133"/>
      <c r="GJ415" s="133"/>
      <c r="GK415" s="133"/>
      <c r="GL415" s="133"/>
      <c r="GM415" s="133"/>
      <c r="GN415" s="133"/>
      <c r="GO415" s="133"/>
      <c r="GP415" s="133"/>
      <c r="GQ415" s="133"/>
      <c r="GR415" s="133"/>
      <c r="GS415" s="133"/>
      <c r="GT415" s="133"/>
      <c r="GU415" s="133"/>
      <c r="GV415" s="133"/>
      <c r="GW415" s="133"/>
      <c r="GX415" s="133"/>
      <c r="GY415" s="133"/>
      <c r="GZ415" s="133"/>
      <c r="HA415" s="133"/>
      <c r="HB415" s="133"/>
      <c r="HC415" s="133"/>
      <c r="HD415" s="133"/>
      <c r="HE415" s="133"/>
      <c r="HF415" s="133"/>
      <c r="HG415" s="133"/>
      <c r="HH415" s="133"/>
      <c r="HI415" s="133"/>
      <c r="HJ415" s="133"/>
      <c r="HK415" s="133"/>
      <c r="HL415" s="133"/>
      <c r="HM415" s="133"/>
      <c r="HN415" s="133"/>
      <c r="HO415" s="133"/>
      <c r="HP415" s="133"/>
      <c r="HQ415" s="133"/>
      <c r="HR415" s="133"/>
      <c r="HS415" s="133"/>
      <c r="HT415" s="133"/>
      <c r="HU415" s="133"/>
      <c r="HV415" s="133"/>
      <c r="HW415" s="133"/>
      <c r="HX415" s="133"/>
      <c r="HY415" s="133"/>
      <c r="HZ415" s="133"/>
      <c r="IA415" s="133"/>
      <c r="IB415" s="133"/>
      <c r="IC415" s="133"/>
      <c r="ID415" s="133"/>
      <c r="IE415" s="133"/>
      <c r="IF415" s="133"/>
      <c r="IG415" s="133"/>
      <c r="IH415" s="133"/>
      <c r="II415" s="133"/>
      <c r="IJ415" s="133"/>
      <c r="IK415" s="133"/>
      <c r="IL415" s="133"/>
      <c r="IM415" s="133"/>
      <c r="IN415" s="133"/>
      <c r="IO415" s="133"/>
      <c r="IP415" s="133"/>
      <c r="IQ415" s="133"/>
      <c r="IR415" s="133"/>
      <c r="IS415" s="133"/>
      <c r="IT415" s="133"/>
      <c r="IU415" s="133"/>
      <c r="IV415" s="133"/>
    </row>
    <row r="416" spans="1:256" s="132" customFormat="1" ht="13.8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GE416" s="133"/>
      <c r="GF416" s="133"/>
      <c r="GG416" s="133"/>
      <c r="GH416" s="133"/>
      <c r="GI416" s="133"/>
      <c r="GJ416" s="133"/>
      <c r="GK416" s="133"/>
      <c r="GL416" s="133"/>
      <c r="GM416" s="133"/>
      <c r="GN416" s="133"/>
      <c r="GO416" s="133"/>
      <c r="GP416" s="133"/>
      <c r="GQ416" s="133"/>
      <c r="GR416" s="133"/>
      <c r="GS416" s="133"/>
      <c r="GT416" s="133"/>
      <c r="GU416" s="133"/>
      <c r="GV416" s="133"/>
      <c r="GW416" s="133"/>
      <c r="GX416" s="133"/>
      <c r="GY416" s="133"/>
      <c r="GZ416" s="133"/>
      <c r="HA416" s="133"/>
      <c r="HB416" s="133"/>
      <c r="HC416" s="133"/>
      <c r="HD416" s="133"/>
      <c r="HE416" s="133"/>
      <c r="HF416" s="133"/>
      <c r="HG416" s="133"/>
      <c r="HH416" s="133"/>
      <c r="HI416" s="133"/>
      <c r="HJ416" s="133"/>
      <c r="HK416" s="133"/>
      <c r="HL416" s="133"/>
      <c r="HM416" s="133"/>
      <c r="HN416" s="133"/>
      <c r="HO416" s="133"/>
      <c r="HP416" s="133"/>
      <c r="HQ416" s="133"/>
      <c r="HR416" s="133"/>
      <c r="HS416" s="133"/>
      <c r="HT416" s="133"/>
      <c r="HU416" s="133"/>
      <c r="HV416" s="133"/>
      <c r="HW416" s="133"/>
      <c r="HX416" s="133"/>
      <c r="HY416" s="133"/>
      <c r="HZ416" s="133"/>
      <c r="IA416" s="133"/>
      <c r="IB416" s="133"/>
      <c r="IC416" s="133"/>
      <c r="ID416" s="133"/>
      <c r="IE416" s="133"/>
      <c r="IF416" s="133"/>
      <c r="IG416" s="133"/>
      <c r="IH416" s="133"/>
      <c r="II416" s="133"/>
      <c r="IJ416" s="133"/>
      <c r="IK416" s="133"/>
      <c r="IL416" s="133"/>
      <c r="IM416" s="133"/>
      <c r="IN416" s="133"/>
      <c r="IO416" s="133"/>
      <c r="IP416" s="133"/>
      <c r="IQ416" s="133"/>
      <c r="IR416" s="133"/>
      <c r="IS416" s="133"/>
      <c r="IT416" s="133"/>
      <c r="IU416" s="133"/>
      <c r="IV416" s="133"/>
    </row>
    <row r="417" spans="1:256" s="132" customFormat="1" ht="13.8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GE417" s="133"/>
      <c r="GF417" s="133"/>
      <c r="GG417" s="133"/>
      <c r="GH417" s="133"/>
      <c r="GI417" s="133"/>
      <c r="GJ417" s="133"/>
      <c r="GK417" s="133"/>
      <c r="GL417" s="133"/>
      <c r="GM417" s="133"/>
      <c r="GN417" s="133"/>
      <c r="GO417" s="133"/>
      <c r="GP417" s="133"/>
      <c r="GQ417" s="133"/>
      <c r="GR417" s="133"/>
      <c r="GS417" s="133"/>
      <c r="GT417" s="133"/>
      <c r="GU417" s="133"/>
      <c r="GV417" s="133"/>
      <c r="GW417" s="133"/>
      <c r="GX417" s="133"/>
      <c r="GY417" s="133"/>
      <c r="GZ417" s="133"/>
      <c r="HA417" s="133"/>
      <c r="HB417" s="133"/>
      <c r="HC417" s="133"/>
      <c r="HD417" s="133"/>
      <c r="HE417" s="133"/>
      <c r="HF417" s="133"/>
      <c r="HG417" s="133"/>
      <c r="HH417" s="133"/>
      <c r="HI417" s="133"/>
      <c r="HJ417" s="133"/>
      <c r="HK417" s="133"/>
      <c r="HL417" s="133"/>
      <c r="HM417" s="133"/>
      <c r="HN417" s="133"/>
      <c r="HO417" s="133"/>
      <c r="HP417" s="133"/>
      <c r="HQ417" s="133"/>
      <c r="HR417" s="133"/>
      <c r="HS417" s="133"/>
      <c r="HT417" s="133"/>
      <c r="HU417" s="133"/>
      <c r="HV417" s="133"/>
      <c r="HW417" s="133"/>
      <c r="HX417" s="133"/>
      <c r="HY417" s="133"/>
      <c r="HZ417" s="133"/>
      <c r="IA417" s="133"/>
      <c r="IB417" s="133"/>
      <c r="IC417" s="133"/>
      <c r="ID417" s="133"/>
      <c r="IE417" s="133"/>
      <c r="IF417" s="133"/>
      <c r="IG417" s="133"/>
      <c r="IH417" s="133"/>
      <c r="II417" s="133"/>
      <c r="IJ417" s="133"/>
      <c r="IK417" s="133"/>
      <c r="IL417" s="133"/>
      <c r="IM417" s="133"/>
      <c r="IN417" s="133"/>
      <c r="IO417" s="133"/>
      <c r="IP417" s="133"/>
      <c r="IQ417" s="133"/>
      <c r="IR417" s="133"/>
      <c r="IS417" s="133"/>
      <c r="IT417" s="133"/>
      <c r="IU417" s="133"/>
      <c r="IV417" s="133"/>
    </row>
    <row r="418" spans="1:256" s="132" customFormat="1" ht="13.8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GE418" s="133"/>
      <c r="GF418" s="133"/>
      <c r="GG418" s="133"/>
      <c r="GH418" s="133"/>
      <c r="GI418" s="133"/>
      <c r="GJ418" s="133"/>
      <c r="GK418" s="133"/>
      <c r="GL418" s="133"/>
      <c r="GM418" s="133"/>
      <c r="GN418" s="133"/>
      <c r="GO418" s="133"/>
      <c r="GP418" s="133"/>
      <c r="GQ418" s="133"/>
      <c r="GR418" s="133"/>
      <c r="GS418" s="133"/>
      <c r="GT418" s="133"/>
      <c r="GU418" s="133"/>
      <c r="GV418" s="133"/>
      <c r="GW418" s="133"/>
      <c r="GX418" s="133"/>
      <c r="GY418" s="133"/>
      <c r="GZ418" s="133"/>
      <c r="HA418" s="133"/>
      <c r="HB418" s="133"/>
      <c r="HC418" s="133"/>
      <c r="HD418" s="133"/>
      <c r="HE418" s="133"/>
      <c r="HF418" s="133"/>
      <c r="HG418" s="133"/>
      <c r="HH418" s="133"/>
      <c r="HI418" s="133"/>
      <c r="HJ418" s="133"/>
      <c r="HK418" s="133"/>
      <c r="HL418" s="133"/>
      <c r="HM418" s="133"/>
      <c r="HN418" s="133"/>
      <c r="HO418" s="133"/>
      <c r="HP418" s="133"/>
      <c r="HQ418" s="133"/>
      <c r="HR418" s="133"/>
      <c r="HS418" s="133"/>
      <c r="HT418" s="133"/>
      <c r="HU418" s="133"/>
      <c r="HV418" s="133"/>
      <c r="HW418" s="133"/>
      <c r="HX418" s="133"/>
      <c r="HY418" s="133"/>
      <c r="HZ418" s="133"/>
      <c r="IA418" s="133"/>
      <c r="IB418" s="133"/>
      <c r="IC418" s="133"/>
      <c r="ID418" s="133"/>
      <c r="IE418" s="133"/>
      <c r="IF418" s="133"/>
      <c r="IG418" s="133"/>
      <c r="IH418" s="133"/>
      <c r="II418" s="133"/>
      <c r="IJ418" s="133"/>
      <c r="IK418" s="133"/>
      <c r="IL418" s="133"/>
      <c r="IM418" s="133"/>
      <c r="IN418" s="133"/>
      <c r="IO418" s="133"/>
      <c r="IP418" s="133"/>
      <c r="IQ418" s="133"/>
      <c r="IR418" s="133"/>
      <c r="IS418" s="133"/>
      <c r="IT418" s="133"/>
      <c r="IU418" s="133"/>
      <c r="IV418" s="133"/>
    </row>
    <row r="419" spans="1:256" s="132" customFormat="1" ht="13.8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GE419" s="133"/>
      <c r="GF419" s="133"/>
      <c r="GG419" s="133"/>
      <c r="GH419" s="133"/>
      <c r="GI419" s="133"/>
      <c r="GJ419" s="133"/>
      <c r="GK419" s="133"/>
      <c r="GL419" s="133"/>
      <c r="GM419" s="133"/>
      <c r="GN419" s="133"/>
      <c r="GO419" s="133"/>
      <c r="GP419" s="133"/>
      <c r="GQ419" s="133"/>
      <c r="GR419" s="133"/>
      <c r="GS419" s="133"/>
      <c r="GT419" s="133"/>
      <c r="GU419" s="133"/>
      <c r="GV419" s="133"/>
      <c r="GW419" s="133"/>
      <c r="GX419" s="133"/>
      <c r="GY419" s="133"/>
      <c r="GZ419" s="133"/>
      <c r="HA419" s="133"/>
      <c r="HB419" s="133"/>
      <c r="HC419" s="133"/>
      <c r="HD419" s="133"/>
      <c r="HE419" s="133"/>
      <c r="HF419" s="133"/>
      <c r="HG419" s="133"/>
      <c r="HH419" s="133"/>
      <c r="HI419" s="133"/>
      <c r="HJ419" s="133"/>
      <c r="HK419" s="133"/>
      <c r="HL419" s="133"/>
      <c r="HM419" s="133"/>
      <c r="HN419" s="133"/>
      <c r="HO419" s="133"/>
      <c r="HP419" s="133"/>
      <c r="HQ419" s="133"/>
      <c r="HR419" s="133"/>
      <c r="HS419" s="133"/>
      <c r="HT419" s="133"/>
      <c r="HU419" s="133"/>
      <c r="HV419" s="133"/>
      <c r="HW419" s="133"/>
      <c r="HX419" s="133"/>
      <c r="HY419" s="133"/>
      <c r="HZ419" s="133"/>
      <c r="IA419" s="133"/>
      <c r="IB419" s="133"/>
      <c r="IC419" s="133"/>
      <c r="ID419" s="133"/>
      <c r="IE419" s="133"/>
      <c r="IF419" s="133"/>
      <c r="IG419" s="133"/>
      <c r="IH419" s="133"/>
      <c r="II419" s="133"/>
      <c r="IJ419" s="133"/>
      <c r="IK419" s="133"/>
      <c r="IL419" s="133"/>
      <c r="IM419" s="133"/>
      <c r="IN419" s="133"/>
      <c r="IO419" s="133"/>
      <c r="IP419" s="133"/>
      <c r="IQ419" s="133"/>
      <c r="IR419" s="133"/>
      <c r="IS419" s="133"/>
      <c r="IT419" s="133"/>
      <c r="IU419" s="133"/>
      <c r="IV419" s="133"/>
    </row>
    <row r="420" spans="1:256" s="132" customFormat="1" ht="13.8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GE420" s="133"/>
      <c r="GF420" s="133"/>
      <c r="GG420" s="133"/>
      <c r="GH420" s="133"/>
      <c r="GI420" s="133"/>
      <c r="GJ420" s="133"/>
      <c r="GK420" s="133"/>
      <c r="GL420" s="133"/>
      <c r="GM420" s="133"/>
      <c r="GN420" s="133"/>
      <c r="GO420" s="133"/>
      <c r="GP420" s="133"/>
      <c r="GQ420" s="133"/>
      <c r="GR420" s="133"/>
      <c r="GS420" s="133"/>
      <c r="GT420" s="133"/>
      <c r="GU420" s="133"/>
      <c r="GV420" s="133"/>
      <c r="GW420" s="133"/>
      <c r="GX420" s="133"/>
      <c r="GY420" s="133"/>
      <c r="GZ420" s="133"/>
      <c r="HA420" s="133"/>
      <c r="HB420" s="133"/>
      <c r="HC420" s="133"/>
      <c r="HD420" s="133"/>
      <c r="HE420" s="133"/>
      <c r="HF420" s="133"/>
      <c r="HG420" s="133"/>
      <c r="HH420" s="133"/>
      <c r="HI420" s="133"/>
      <c r="HJ420" s="133"/>
      <c r="HK420" s="133"/>
      <c r="HL420" s="133"/>
      <c r="HM420" s="133"/>
      <c r="HN420" s="133"/>
      <c r="HO420" s="133"/>
      <c r="HP420" s="133"/>
      <c r="HQ420" s="133"/>
      <c r="HR420" s="133"/>
      <c r="HS420" s="133"/>
      <c r="HT420" s="133"/>
      <c r="HU420" s="133"/>
      <c r="HV420" s="133"/>
      <c r="HW420" s="133"/>
      <c r="HX420" s="133"/>
      <c r="HY420" s="133"/>
      <c r="HZ420" s="133"/>
      <c r="IA420" s="133"/>
      <c r="IB420" s="133"/>
      <c r="IC420" s="133"/>
      <c r="ID420" s="133"/>
      <c r="IE420" s="133"/>
      <c r="IF420" s="133"/>
      <c r="IG420" s="133"/>
      <c r="IH420" s="133"/>
      <c r="II420" s="133"/>
      <c r="IJ420" s="133"/>
      <c r="IK420" s="133"/>
      <c r="IL420" s="133"/>
      <c r="IM420" s="133"/>
      <c r="IN420" s="133"/>
      <c r="IO420" s="133"/>
      <c r="IP420" s="133"/>
      <c r="IQ420" s="133"/>
      <c r="IR420" s="133"/>
      <c r="IS420" s="133"/>
      <c r="IT420" s="133"/>
      <c r="IU420" s="133"/>
      <c r="IV420" s="133"/>
    </row>
    <row r="421" spans="1:256" s="132" customFormat="1" ht="13.8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GE421" s="133"/>
      <c r="GF421" s="133"/>
      <c r="GG421" s="133"/>
      <c r="GH421" s="133"/>
      <c r="GI421" s="133"/>
      <c r="GJ421" s="133"/>
      <c r="GK421" s="133"/>
      <c r="GL421" s="133"/>
      <c r="GM421" s="133"/>
      <c r="GN421" s="133"/>
      <c r="GO421" s="133"/>
      <c r="GP421" s="133"/>
      <c r="GQ421" s="133"/>
      <c r="GR421" s="133"/>
      <c r="GS421" s="133"/>
      <c r="GT421" s="133"/>
      <c r="GU421" s="133"/>
      <c r="GV421" s="133"/>
      <c r="GW421" s="133"/>
      <c r="GX421" s="133"/>
      <c r="GY421" s="133"/>
      <c r="GZ421" s="133"/>
      <c r="HA421" s="133"/>
      <c r="HB421" s="133"/>
      <c r="HC421" s="133"/>
      <c r="HD421" s="133"/>
      <c r="HE421" s="133"/>
      <c r="HF421" s="133"/>
      <c r="HG421" s="133"/>
      <c r="HH421" s="133"/>
      <c r="HI421" s="133"/>
      <c r="HJ421" s="133"/>
      <c r="HK421" s="133"/>
      <c r="HL421" s="133"/>
      <c r="HM421" s="133"/>
      <c r="HN421" s="133"/>
      <c r="HO421" s="133"/>
      <c r="HP421" s="133"/>
      <c r="HQ421" s="133"/>
      <c r="HR421" s="133"/>
      <c r="HS421" s="133"/>
      <c r="HT421" s="133"/>
      <c r="HU421" s="133"/>
      <c r="HV421" s="133"/>
      <c r="HW421" s="133"/>
      <c r="HX421" s="133"/>
      <c r="HY421" s="133"/>
      <c r="HZ421" s="133"/>
      <c r="IA421" s="133"/>
      <c r="IB421" s="133"/>
      <c r="IC421" s="133"/>
      <c r="ID421" s="133"/>
      <c r="IE421" s="133"/>
      <c r="IF421" s="133"/>
      <c r="IG421" s="133"/>
      <c r="IH421" s="133"/>
      <c r="II421" s="133"/>
      <c r="IJ421" s="133"/>
      <c r="IK421" s="133"/>
      <c r="IL421" s="133"/>
      <c r="IM421" s="133"/>
      <c r="IN421" s="133"/>
      <c r="IO421" s="133"/>
      <c r="IP421" s="133"/>
      <c r="IQ421" s="133"/>
      <c r="IR421" s="133"/>
      <c r="IS421" s="133"/>
      <c r="IT421" s="133"/>
      <c r="IU421" s="133"/>
      <c r="IV421" s="133"/>
    </row>
    <row r="422" spans="1:256" s="132" customFormat="1" ht="13.8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GE422" s="133"/>
      <c r="GF422" s="133"/>
      <c r="GG422" s="133"/>
      <c r="GH422" s="133"/>
      <c r="GI422" s="133"/>
      <c r="GJ422" s="133"/>
      <c r="GK422" s="133"/>
      <c r="GL422" s="133"/>
      <c r="GM422" s="133"/>
      <c r="GN422" s="133"/>
      <c r="GO422" s="133"/>
      <c r="GP422" s="133"/>
      <c r="GQ422" s="133"/>
      <c r="GR422" s="133"/>
      <c r="GS422" s="133"/>
      <c r="GT422" s="133"/>
      <c r="GU422" s="133"/>
      <c r="GV422" s="133"/>
      <c r="GW422" s="133"/>
      <c r="GX422" s="133"/>
      <c r="GY422" s="133"/>
      <c r="GZ422" s="133"/>
      <c r="HA422" s="133"/>
      <c r="HB422" s="133"/>
      <c r="HC422" s="133"/>
      <c r="HD422" s="133"/>
      <c r="HE422" s="133"/>
      <c r="HF422" s="133"/>
      <c r="HG422" s="133"/>
      <c r="HH422" s="133"/>
      <c r="HI422" s="133"/>
      <c r="HJ422" s="133"/>
      <c r="HK422" s="133"/>
      <c r="HL422" s="133"/>
      <c r="HM422" s="133"/>
      <c r="HN422" s="133"/>
      <c r="HO422" s="133"/>
      <c r="HP422" s="133"/>
      <c r="HQ422" s="133"/>
      <c r="HR422" s="133"/>
      <c r="HS422" s="133"/>
      <c r="HT422" s="133"/>
      <c r="HU422" s="133"/>
      <c r="HV422" s="133"/>
      <c r="HW422" s="133"/>
      <c r="HX422" s="133"/>
      <c r="HY422" s="133"/>
      <c r="HZ422" s="133"/>
      <c r="IA422" s="133"/>
      <c r="IB422" s="133"/>
      <c r="IC422" s="133"/>
      <c r="ID422" s="133"/>
      <c r="IE422" s="133"/>
      <c r="IF422" s="133"/>
      <c r="IG422" s="133"/>
      <c r="IH422" s="133"/>
      <c r="II422" s="133"/>
      <c r="IJ422" s="133"/>
      <c r="IK422" s="133"/>
      <c r="IL422" s="133"/>
      <c r="IM422" s="133"/>
      <c r="IN422" s="133"/>
      <c r="IO422" s="133"/>
      <c r="IP422" s="133"/>
      <c r="IQ422" s="133"/>
      <c r="IR422" s="133"/>
      <c r="IS422" s="133"/>
      <c r="IT422" s="133"/>
      <c r="IU422" s="133"/>
      <c r="IV422" s="133"/>
    </row>
    <row r="423" spans="1:256" s="132" customFormat="1" ht="13.8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GE423" s="133"/>
      <c r="GF423" s="133"/>
      <c r="GG423" s="133"/>
      <c r="GH423" s="133"/>
      <c r="GI423" s="133"/>
      <c r="GJ423" s="133"/>
      <c r="GK423" s="133"/>
      <c r="GL423" s="133"/>
      <c r="GM423" s="133"/>
      <c r="GN423" s="133"/>
      <c r="GO423" s="133"/>
      <c r="GP423" s="133"/>
      <c r="GQ423" s="133"/>
      <c r="GR423" s="133"/>
      <c r="GS423" s="133"/>
      <c r="GT423" s="133"/>
      <c r="GU423" s="133"/>
      <c r="GV423" s="133"/>
      <c r="GW423" s="133"/>
      <c r="GX423" s="133"/>
      <c r="GY423" s="133"/>
      <c r="GZ423" s="133"/>
      <c r="HA423" s="133"/>
      <c r="HB423" s="133"/>
      <c r="HC423" s="133"/>
      <c r="HD423" s="133"/>
      <c r="HE423" s="133"/>
      <c r="HF423" s="133"/>
      <c r="HG423" s="133"/>
      <c r="HH423" s="133"/>
      <c r="HI423" s="133"/>
      <c r="HJ423" s="133"/>
      <c r="HK423" s="133"/>
      <c r="HL423" s="133"/>
      <c r="HM423" s="133"/>
      <c r="HN423" s="133"/>
      <c r="HO423" s="133"/>
      <c r="HP423" s="133"/>
      <c r="HQ423" s="133"/>
      <c r="HR423" s="133"/>
      <c r="HS423" s="133"/>
      <c r="HT423" s="133"/>
      <c r="HU423" s="133"/>
      <c r="HV423" s="133"/>
      <c r="HW423" s="133"/>
      <c r="HX423" s="133"/>
      <c r="HY423" s="133"/>
      <c r="HZ423" s="133"/>
      <c r="IA423" s="133"/>
      <c r="IB423" s="133"/>
      <c r="IC423" s="133"/>
      <c r="ID423" s="133"/>
      <c r="IE423" s="133"/>
      <c r="IF423" s="133"/>
      <c r="IG423" s="133"/>
      <c r="IH423" s="133"/>
      <c r="II423" s="133"/>
      <c r="IJ423" s="133"/>
      <c r="IK423" s="133"/>
      <c r="IL423" s="133"/>
      <c r="IM423" s="133"/>
      <c r="IN423" s="133"/>
      <c r="IO423" s="133"/>
      <c r="IP423" s="133"/>
      <c r="IQ423" s="133"/>
      <c r="IR423" s="133"/>
      <c r="IS423" s="133"/>
      <c r="IT423" s="133"/>
      <c r="IU423" s="133"/>
      <c r="IV423" s="133"/>
    </row>
    <row r="424" spans="1:256" s="132" customFormat="1" ht="13.8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GE424" s="133"/>
      <c r="GF424" s="133"/>
      <c r="GG424" s="133"/>
      <c r="GH424" s="133"/>
      <c r="GI424" s="133"/>
      <c r="GJ424" s="133"/>
      <c r="GK424" s="133"/>
      <c r="GL424" s="133"/>
      <c r="GM424" s="133"/>
      <c r="GN424" s="133"/>
      <c r="GO424" s="133"/>
      <c r="GP424" s="133"/>
      <c r="GQ424" s="133"/>
      <c r="GR424" s="133"/>
      <c r="GS424" s="133"/>
      <c r="GT424" s="133"/>
      <c r="GU424" s="133"/>
      <c r="GV424" s="133"/>
      <c r="GW424" s="133"/>
      <c r="GX424" s="133"/>
      <c r="GY424" s="133"/>
      <c r="GZ424" s="133"/>
      <c r="HA424" s="133"/>
      <c r="HB424" s="133"/>
      <c r="HC424" s="133"/>
      <c r="HD424" s="133"/>
      <c r="HE424" s="133"/>
      <c r="HF424" s="133"/>
      <c r="HG424" s="133"/>
      <c r="HH424" s="133"/>
      <c r="HI424" s="133"/>
      <c r="HJ424" s="133"/>
      <c r="HK424" s="133"/>
      <c r="HL424" s="133"/>
      <c r="HM424" s="133"/>
      <c r="HN424" s="133"/>
      <c r="HO424" s="133"/>
      <c r="HP424" s="133"/>
      <c r="HQ424" s="133"/>
      <c r="HR424" s="133"/>
      <c r="HS424" s="133"/>
      <c r="HT424" s="133"/>
      <c r="HU424" s="133"/>
      <c r="HV424" s="133"/>
      <c r="HW424" s="133"/>
      <c r="HX424" s="133"/>
      <c r="HY424" s="133"/>
      <c r="HZ424" s="133"/>
      <c r="IA424" s="133"/>
      <c r="IB424" s="133"/>
      <c r="IC424" s="133"/>
      <c r="ID424" s="133"/>
      <c r="IE424" s="133"/>
      <c r="IF424" s="133"/>
      <c r="IG424" s="133"/>
      <c r="IH424" s="133"/>
      <c r="II424" s="133"/>
      <c r="IJ424" s="133"/>
      <c r="IK424" s="133"/>
      <c r="IL424" s="133"/>
      <c r="IM424" s="133"/>
      <c r="IN424" s="133"/>
      <c r="IO424" s="133"/>
      <c r="IP424" s="133"/>
      <c r="IQ424" s="133"/>
      <c r="IR424" s="133"/>
      <c r="IS424" s="133"/>
      <c r="IT424" s="133"/>
      <c r="IU424" s="133"/>
      <c r="IV424" s="133"/>
    </row>
    <row r="425" spans="1:256" s="132" customFormat="1" ht="13.8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GE425" s="133"/>
      <c r="GF425" s="133"/>
      <c r="GG425" s="133"/>
      <c r="GH425" s="133"/>
      <c r="GI425" s="133"/>
      <c r="GJ425" s="133"/>
      <c r="GK425" s="133"/>
      <c r="GL425" s="133"/>
      <c r="GM425" s="133"/>
      <c r="GN425" s="133"/>
      <c r="GO425" s="133"/>
      <c r="GP425" s="133"/>
      <c r="GQ425" s="133"/>
      <c r="GR425" s="133"/>
      <c r="GS425" s="133"/>
      <c r="GT425" s="133"/>
      <c r="GU425" s="133"/>
      <c r="GV425" s="133"/>
      <c r="GW425" s="133"/>
      <c r="GX425" s="133"/>
      <c r="GY425" s="133"/>
      <c r="GZ425" s="133"/>
      <c r="HA425" s="133"/>
      <c r="HB425" s="133"/>
      <c r="HC425" s="133"/>
      <c r="HD425" s="133"/>
      <c r="HE425" s="133"/>
      <c r="HF425" s="133"/>
      <c r="HG425" s="133"/>
      <c r="HH425" s="133"/>
      <c r="HI425" s="133"/>
      <c r="HJ425" s="133"/>
      <c r="HK425" s="133"/>
      <c r="HL425" s="133"/>
      <c r="HM425" s="133"/>
      <c r="HN425" s="133"/>
      <c r="HO425" s="133"/>
      <c r="HP425" s="133"/>
      <c r="HQ425" s="133"/>
      <c r="HR425" s="133"/>
      <c r="HS425" s="133"/>
      <c r="HT425" s="133"/>
      <c r="HU425" s="133"/>
      <c r="HV425" s="133"/>
      <c r="HW425" s="133"/>
      <c r="HX425" s="133"/>
      <c r="HY425" s="133"/>
      <c r="HZ425" s="133"/>
      <c r="IA425" s="133"/>
      <c r="IB425" s="133"/>
      <c r="IC425" s="133"/>
      <c r="ID425" s="133"/>
      <c r="IE425" s="133"/>
      <c r="IF425" s="133"/>
      <c r="IG425" s="133"/>
      <c r="IH425" s="133"/>
      <c r="II425" s="133"/>
      <c r="IJ425" s="133"/>
      <c r="IK425" s="133"/>
      <c r="IL425" s="133"/>
      <c r="IM425" s="133"/>
      <c r="IN425" s="133"/>
      <c r="IO425" s="133"/>
      <c r="IP425" s="133"/>
      <c r="IQ425" s="133"/>
      <c r="IR425" s="133"/>
      <c r="IS425" s="133"/>
      <c r="IT425" s="133"/>
      <c r="IU425" s="133"/>
      <c r="IV425" s="133"/>
    </row>
    <row r="426" spans="1:256" s="132" customFormat="1" ht="13.8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GE426" s="133"/>
      <c r="GF426" s="133"/>
      <c r="GG426" s="133"/>
      <c r="GH426" s="133"/>
      <c r="GI426" s="133"/>
      <c r="GJ426" s="133"/>
      <c r="GK426" s="133"/>
      <c r="GL426" s="133"/>
      <c r="GM426" s="133"/>
      <c r="GN426" s="133"/>
      <c r="GO426" s="133"/>
      <c r="GP426" s="133"/>
      <c r="GQ426" s="133"/>
      <c r="GR426" s="133"/>
      <c r="GS426" s="133"/>
      <c r="GT426" s="133"/>
      <c r="GU426" s="133"/>
      <c r="GV426" s="133"/>
      <c r="GW426" s="133"/>
      <c r="GX426" s="133"/>
      <c r="GY426" s="133"/>
      <c r="GZ426" s="133"/>
      <c r="HA426" s="133"/>
      <c r="HB426" s="133"/>
      <c r="HC426" s="133"/>
      <c r="HD426" s="133"/>
      <c r="HE426" s="133"/>
      <c r="HF426" s="133"/>
      <c r="HG426" s="133"/>
      <c r="HH426" s="133"/>
      <c r="HI426" s="133"/>
      <c r="HJ426" s="133"/>
      <c r="HK426" s="133"/>
      <c r="HL426" s="133"/>
      <c r="HM426" s="133"/>
      <c r="HN426" s="133"/>
      <c r="HO426" s="133"/>
      <c r="HP426" s="133"/>
      <c r="HQ426" s="133"/>
      <c r="HR426" s="133"/>
      <c r="HS426" s="133"/>
      <c r="HT426" s="133"/>
      <c r="HU426" s="133"/>
      <c r="HV426" s="133"/>
      <c r="HW426" s="133"/>
      <c r="HX426" s="133"/>
      <c r="HY426" s="133"/>
      <c r="HZ426" s="133"/>
      <c r="IA426" s="133"/>
      <c r="IB426" s="133"/>
      <c r="IC426" s="133"/>
      <c r="ID426" s="133"/>
      <c r="IE426" s="133"/>
      <c r="IF426" s="133"/>
      <c r="IG426" s="133"/>
      <c r="IH426" s="133"/>
      <c r="II426" s="133"/>
      <c r="IJ426" s="133"/>
      <c r="IK426" s="133"/>
      <c r="IL426" s="133"/>
      <c r="IM426" s="133"/>
      <c r="IN426" s="133"/>
      <c r="IO426" s="133"/>
      <c r="IP426" s="133"/>
      <c r="IQ426" s="133"/>
      <c r="IR426" s="133"/>
      <c r="IS426" s="133"/>
      <c r="IT426" s="133"/>
      <c r="IU426" s="133"/>
      <c r="IV426" s="133"/>
    </row>
    <row r="427" spans="1:256" s="132" customFormat="1" ht="13.8">
      <c r="A427" s="133"/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GE427" s="133"/>
      <c r="GF427" s="133"/>
      <c r="GG427" s="133"/>
      <c r="GH427" s="133"/>
      <c r="GI427" s="133"/>
      <c r="GJ427" s="133"/>
      <c r="GK427" s="133"/>
      <c r="GL427" s="133"/>
      <c r="GM427" s="133"/>
      <c r="GN427" s="133"/>
      <c r="GO427" s="133"/>
      <c r="GP427" s="133"/>
      <c r="GQ427" s="133"/>
      <c r="GR427" s="133"/>
      <c r="GS427" s="133"/>
      <c r="GT427" s="133"/>
      <c r="GU427" s="133"/>
      <c r="GV427" s="133"/>
      <c r="GW427" s="133"/>
      <c r="GX427" s="133"/>
      <c r="GY427" s="133"/>
      <c r="GZ427" s="133"/>
      <c r="HA427" s="133"/>
      <c r="HB427" s="133"/>
      <c r="HC427" s="133"/>
      <c r="HD427" s="133"/>
      <c r="HE427" s="133"/>
      <c r="HF427" s="133"/>
      <c r="HG427" s="133"/>
      <c r="HH427" s="133"/>
      <c r="HI427" s="133"/>
      <c r="HJ427" s="133"/>
      <c r="HK427" s="133"/>
      <c r="HL427" s="133"/>
      <c r="HM427" s="133"/>
      <c r="HN427" s="133"/>
      <c r="HO427" s="133"/>
      <c r="HP427" s="133"/>
      <c r="HQ427" s="133"/>
      <c r="HR427" s="133"/>
      <c r="HS427" s="133"/>
      <c r="HT427" s="133"/>
      <c r="HU427" s="133"/>
      <c r="HV427" s="133"/>
      <c r="HW427" s="133"/>
      <c r="HX427" s="133"/>
      <c r="HY427" s="133"/>
      <c r="HZ427" s="133"/>
      <c r="IA427" s="133"/>
      <c r="IB427" s="133"/>
      <c r="IC427" s="133"/>
      <c r="ID427" s="133"/>
      <c r="IE427" s="133"/>
      <c r="IF427" s="133"/>
      <c r="IG427" s="133"/>
      <c r="IH427" s="133"/>
      <c r="II427" s="133"/>
      <c r="IJ427" s="133"/>
      <c r="IK427" s="133"/>
      <c r="IL427" s="133"/>
      <c r="IM427" s="133"/>
      <c r="IN427" s="133"/>
      <c r="IO427" s="133"/>
      <c r="IP427" s="133"/>
      <c r="IQ427" s="133"/>
      <c r="IR427" s="133"/>
      <c r="IS427" s="133"/>
      <c r="IT427" s="133"/>
      <c r="IU427" s="133"/>
      <c r="IV427" s="133"/>
    </row>
    <row r="428" spans="1:256" s="132" customFormat="1" ht="13.8">
      <c r="A428" s="133"/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GE428" s="133"/>
      <c r="GF428" s="133"/>
      <c r="GG428" s="133"/>
      <c r="GH428" s="133"/>
      <c r="GI428" s="133"/>
      <c r="GJ428" s="133"/>
      <c r="GK428" s="133"/>
      <c r="GL428" s="133"/>
      <c r="GM428" s="133"/>
      <c r="GN428" s="133"/>
      <c r="GO428" s="133"/>
      <c r="GP428" s="133"/>
      <c r="GQ428" s="133"/>
      <c r="GR428" s="133"/>
      <c r="GS428" s="133"/>
      <c r="GT428" s="133"/>
      <c r="GU428" s="133"/>
      <c r="GV428" s="133"/>
      <c r="GW428" s="133"/>
      <c r="GX428" s="133"/>
      <c r="GY428" s="133"/>
      <c r="GZ428" s="133"/>
      <c r="HA428" s="133"/>
      <c r="HB428" s="133"/>
      <c r="HC428" s="133"/>
      <c r="HD428" s="133"/>
      <c r="HE428" s="133"/>
      <c r="HF428" s="133"/>
      <c r="HG428" s="133"/>
      <c r="HH428" s="133"/>
      <c r="HI428" s="133"/>
      <c r="HJ428" s="133"/>
      <c r="HK428" s="133"/>
      <c r="HL428" s="133"/>
      <c r="HM428" s="133"/>
      <c r="HN428" s="133"/>
      <c r="HO428" s="133"/>
      <c r="HP428" s="133"/>
      <c r="HQ428" s="133"/>
      <c r="HR428" s="133"/>
      <c r="HS428" s="133"/>
      <c r="HT428" s="133"/>
      <c r="HU428" s="133"/>
      <c r="HV428" s="133"/>
      <c r="HW428" s="133"/>
      <c r="HX428" s="133"/>
      <c r="HY428" s="133"/>
      <c r="HZ428" s="133"/>
      <c r="IA428" s="133"/>
      <c r="IB428" s="133"/>
      <c r="IC428" s="133"/>
      <c r="ID428" s="133"/>
      <c r="IE428" s="133"/>
      <c r="IF428" s="133"/>
      <c r="IG428" s="133"/>
      <c r="IH428" s="133"/>
      <c r="II428" s="133"/>
      <c r="IJ428" s="133"/>
      <c r="IK428" s="133"/>
      <c r="IL428" s="133"/>
      <c r="IM428" s="133"/>
      <c r="IN428" s="133"/>
      <c r="IO428" s="133"/>
      <c r="IP428" s="133"/>
      <c r="IQ428" s="133"/>
      <c r="IR428" s="133"/>
      <c r="IS428" s="133"/>
      <c r="IT428" s="133"/>
      <c r="IU428" s="133"/>
      <c r="IV428" s="133"/>
    </row>
    <row r="429" spans="1:256" s="132" customFormat="1" ht="13.8">
      <c r="A429" s="133"/>
      <c r="B429" s="133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GE429" s="133"/>
      <c r="GF429" s="133"/>
      <c r="GG429" s="133"/>
      <c r="GH429" s="133"/>
      <c r="GI429" s="133"/>
      <c r="GJ429" s="133"/>
      <c r="GK429" s="133"/>
      <c r="GL429" s="133"/>
      <c r="GM429" s="133"/>
      <c r="GN429" s="133"/>
      <c r="GO429" s="133"/>
      <c r="GP429" s="133"/>
      <c r="GQ429" s="133"/>
      <c r="GR429" s="133"/>
      <c r="GS429" s="133"/>
      <c r="GT429" s="133"/>
      <c r="GU429" s="133"/>
      <c r="GV429" s="133"/>
      <c r="GW429" s="133"/>
      <c r="GX429" s="133"/>
      <c r="GY429" s="133"/>
      <c r="GZ429" s="133"/>
      <c r="HA429" s="133"/>
      <c r="HB429" s="133"/>
      <c r="HC429" s="133"/>
      <c r="HD429" s="133"/>
      <c r="HE429" s="133"/>
      <c r="HF429" s="133"/>
      <c r="HG429" s="133"/>
      <c r="HH429" s="133"/>
      <c r="HI429" s="133"/>
      <c r="HJ429" s="133"/>
      <c r="HK429" s="133"/>
      <c r="HL429" s="133"/>
      <c r="HM429" s="133"/>
      <c r="HN429" s="133"/>
      <c r="HO429" s="133"/>
      <c r="HP429" s="133"/>
      <c r="HQ429" s="133"/>
      <c r="HR429" s="133"/>
      <c r="HS429" s="133"/>
      <c r="HT429" s="133"/>
      <c r="HU429" s="133"/>
      <c r="HV429" s="133"/>
      <c r="HW429" s="133"/>
      <c r="HX429" s="133"/>
      <c r="HY429" s="133"/>
      <c r="HZ429" s="133"/>
      <c r="IA429" s="133"/>
      <c r="IB429" s="133"/>
      <c r="IC429" s="133"/>
      <c r="ID429" s="133"/>
      <c r="IE429" s="133"/>
      <c r="IF429" s="133"/>
      <c r="IG429" s="133"/>
      <c r="IH429" s="133"/>
      <c r="II429" s="133"/>
      <c r="IJ429" s="133"/>
      <c r="IK429" s="133"/>
      <c r="IL429" s="133"/>
      <c r="IM429" s="133"/>
      <c r="IN429" s="133"/>
      <c r="IO429" s="133"/>
      <c r="IP429" s="133"/>
      <c r="IQ429" s="133"/>
      <c r="IR429" s="133"/>
      <c r="IS429" s="133"/>
      <c r="IT429" s="133"/>
      <c r="IU429" s="133"/>
      <c r="IV429" s="133"/>
    </row>
    <row r="430" spans="1:256" s="132" customFormat="1" ht="13.8">
      <c r="A430" s="133"/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GE430" s="133"/>
      <c r="GF430" s="133"/>
      <c r="GG430" s="133"/>
      <c r="GH430" s="133"/>
      <c r="GI430" s="133"/>
      <c r="GJ430" s="133"/>
      <c r="GK430" s="133"/>
      <c r="GL430" s="133"/>
      <c r="GM430" s="133"/>
      <c r="GN430" s="133"/>
      <c r="GO430" s="133"/>
      <c r="GP430" s="133"/>
      <c r="GQ430" s="133"/>
      <c r="GR430" s="133"/>
      <c r="GS430" s="133"/>
      <c r="GT430" s="133"/>
      <c r="GU430" s="133"/>
      <c r="GV430" s="133"/>
      <c r="GW430" s="133"/>
      <c r="GX430" s="133"/>
      <c r="GY430" s="133"/>
      <c r="GZ430" s="133"/>
      <c r="HA430" s="133"/>
      <c r="HB430" s="133"/>
      <c r="HC430" s="133"/>
      <c r="HD430" s="133"/>
      <c r="HE430" s="133"/>
      <c r="HF430" s="133"/>
      <c r="HG430" s="133"/>
      <c r="HH430" s="133"/>
      <c r="HI430" s="133"/>
      <c r="HJ430" s="133"/>
      <c r="HK430" s="133"/>
      <c r="HL430" s="133"/>
      <c r="HM430" s="133"/>
      <c r="HN430" s="133"/>
      <c r="HO430" s="133"/>
      <c r="HP430" s="133"/>
      <c r="HQ430" s="133"/>
      <c r="HR430" s="133"/>
      <c r="HS430" s="133"/>
      <c r="HT430" s="133"/>
      <c r="HU430" s="133"/>
      <c r="HV430" s="133"/>
      <c r="HW430" s="133"/>
      <c r="HX430" s="133"/>
      <c r="HY430" s="133"/>
      <c r="HZ430" s="133"/>
      <c r="IA430" s="133"/>
      <c r="IB430" s="133"/>
      <c r="IC430" s="133"/>
      <c r="ID430" s="133"/>
      <c r="IE430" s="133"/>
      <c r="IF430" s="133"/>
      <c r="IG430" s="133"/>
      <c r="IH430" s="133"/>
      <c r="II430" s="133"/>
      <c r="IJ430" s="133"/>
      <c r="IK430" s="133"/>
      <c r="IL430" s="133"/>
      <c r="IM430" s="133"/>
      <c r="IN430" s="133"/>
      <c r="IO430" s="133"/>
      <c r="IP430" s="133"/>
      <c r="IQ430" s="133"/>
      <c r="IR430" s="133"/>
      <c r="IS430" s="133"/>
      <c r="IT430" s="133"/>
      <c r="IU430" s="133"/>
      <c r="IV430" s="133"/>
    </row>
    <row r="431" spans="1:256" s="132" customFormat="1" ht="13.8">
      <c r="A431" s="133"/>
      <c r="B431" s="133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GE431" s="133"/>
      <c r="GF431" s="133"/>
      <c r="GG431" s="133"/>
      <c r="GH431" s="133"/>
      <c r="GI431" s="133"/>
      <c r="GJ431" s="133"/>
      <c r="GK431" s="133"/>
      <c r="GL431" s="133"/>
      <c r="GM431" s="133"/>
      <c r="GN431" s="133"/>
      <c r="GO431" s="133"/>
      <c r="GP431" s="133"/>
      <c r="GQ431" s="133"/>
      <c r="GR431" s="133"/>
      <c r="GS431" s="133"/>
      <c r="GT431" s="133"/>
      <c r="GU431" s="133"/>
      <c r="GV431" s="133"/>
      <c r="GW431" s="133"/>
      <c r="GX431" s="133"/>
      <c r="GY431" s="133"/>
      <c r="GZ431" s="133"/>
      <c r="HA431" s="133"/>
      <c r="HB431" s="133"/>
      <c r="HC431" s="133"/>
      <c r="HD431" s="133"/>
      <c r="HE431" s="133"/>
      <c r="HF431" s="133"/>
      <c r="HG431" s="133"/>
      <c r="HH431" s="133"/>
      <c r="HI431" s="133"/>
      <c r="HJ431" s="133"/>
      <c r="HK431" s="133"/>
      <c r="HL431" s="133"/>
      <c r="HM431" s="133"/>
      <c r="HN431" s="133"/>
      <c r="HO431" s="133"/>
      <c r="HP431" s="133"/>
      <c r="HQ431" s="133"/>
      <c r="HR431" s="133"/>
      <c r="HS431" s="133"/>
      <c r="HT431" s="133"/>
      <c r="HU431" s="133"/>
      <c r="HV431" s="133"/>
      <c r="HW431" s="133"/>
      <c r="HX431" s="133"/>
      <c r="HY431" s="133"/>
      <c r="HZ431" s="133"/>
      <c r="IA431" s="133"/>
      <c r="IB431" s="133"/>
      <c r="IC431" s="133"/>
      <c r="ID431" s="133"/>
      <c r="IE431" s="133"/>
      <c r="IF431" s="133"/>
      <c r="IG431" s="133"/>
      <c r="IH431" s="133"/>
      <c r="II431" s="133"/>
      <c r="IJ431" s="133"/>
      <c r="IK431" s="133"/>
      <c r="IL431" s="133"/>
      <c r="IM431" s="133"/>
      <c r="IN431" s="133"/>
      <c r="IO431" s="133"/>
      <c r="IP431" s="133"/>
      <c r="IQ431" s="133"/>
      <c r="IR431" s="133"/>
      <c r="IS431" s="133"/>
      <c r="IT431" s="133"/>
      <c r="IU431" s="133"/>
      <c r="IV431" s="133"/>
    </row>
    <row r="432" spans="1:256" s="132" customFormat="1" ht="13.8">
      <c r="A432" s="133"/>
      <c r="B432" s="133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GE432" s="133"/>
      <c r="GF432" s="133"/>
      <c r="GG432" s="133"/>
      <c r="GH432" s="133"/>
      <c r="GI432" s="133"/>
      <c r="GJ432" s="133"/>
      <c r="GK432" s="133"/>
      <c r="GL432" s="133"/>
      <c r="GM432" s="133"/>
      <c r="GN432" s="133"/>
      <c r="GO432" s="133"/>
      <c r="GP432" s="133"/>
      <c r="GQ432" s="133"/>
      <c r="GR432" s="133"/>
      <c r="GS432" s="133"/>
      <c r="GT432" s="133"/>
      <c r="GU432" s="133"/>
      <c r="GV432" s="133"/>
      <c r="GW432" s="133"/>
      <c r="GX432" s="133"/>
      <c r="GY432" s="133"/>
      <c r="GZ432" s="133"/>
      <c r="HA432" s="133"/>
      <c r="HB432" s="133"/>
      <c r="HC432" s="133"/>
      <c r="HD432" s="133"/>
      <c r="HE432" s="133"/>
      <c r="HF432" s="133"/>
      <c r="HG432" s="133"/>
      <c r="HH432" s="133"/>
      <c r="HI432" s="133"/>
      <c r="HJ432" s="133"/>
      <c r="HK432" s="133"/>
      <c r="HL432" s="133"/>
      <c r="HM432" s="133"/>
      <c r="HN432" s="133"/>
      <c r="HO432" s="133"/>
      <c r="HP432" s="133"/>
      <c r="HQ432" s="133"/>
      <c r="HR432" s="133"/>
      <c r="HS432" s="133"/>
      <c r="HT432" s="133"/>
      <c r="HU432" s="133"/>
      <c r="HV432" s="133"/>
      <c r="HW432" s="133"/>
      <c r="HX432" s="133"/>
      <c r="HY432" s="133"/>
      <c r="HZ432" s="133"/>
      <c r="IA432" s="133"/>
      <c r="IB432" s="133"/>
      <c r="IC432" s="133"/>
      <c r="ID432" s="133"/>
      <c r="IE432" s="133"/>
      <c r="IF432" s="133"/>
      <c r="IG432" s="133"/>
      <c r="IH432" s="133"/>
      <c r="II432" s="133"/>
      <c r="IJ432" s="133"/>
      <c r="IK432" s="133"/>
      <c r="IL432" s="133"/>
      <c r="IM432" s="133"/>
      <c r="IN432" s="133"/>
      <c r="IO432" s="133"/>
      <c r="IP432" s="133"/>
      <c r="IQ432" s="133"/>
      <c r="IR432" s="133"/>
      <c r="IS432" s="133"/>
      <c r="IT432" s="133"/>
      <c r="IU432" s="133"/>
      <c r="IV432" s="133"/>
    </row>
    <row r="433" spans="1:256" s="132" customFormat="1" ht="13.8">
      <c r="A433" s="133"/>
      <c r="B433" s="133"/>
      <c r="C433" s="133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GE433" s="133"/>
      <c r="GF433" s="133"/>
      <c r="GG433" s="133"/>
      <c r="GH433" s="133"/>
      <c r="GI433" s="133"/>
      <c r="GJ433" s="133"/>
      <c r="GK433" s="133"/>
      <c r="GL433" s="133"/>
      <c r="GM433" s="133"/>
      <c r="GN433" s="133"/>
      <c r="GO433" s="133"/>
      <c r="GP433" s="133"/>
      <c r="GQ433" s="133"/>
      <c r="GR433" s="133"/>
      <c r="GS433" s="133"/>
      <c r="GT433" s="133"/>
      <c r="GU433" s="133"/>
      <c r="GV433" s="133"/>
      <c r="GW433" s="133"/>
      <c r="GX433" s="133"/>
      <c r="GY433" s="133"/>
      <c r="GZ433" s="133"/>
      <c r="HA433" s="133"/>
      <c r="HB433" s="133"/>
      <c r="HC433" s="133"/>
      <c r="HD433" s="133"/>
      <c r="HE433" s="133"/>
      <c r="HF433" s="133"/>
      <c r="HG433" s="133"/>
      <c r="HH433" s="133"/>
      <c r="HI433" s="133"/>
      <c r="HJ433" s="133"/>
      <c r="HK433" s="133"/>
      <c r="HL433" s="133"/>
      <c r="HM433" s="133"/>
      <c r="HN433" s="133"/>
      <c r="HO433" s="133"/>
      <c r="HP433" s="133"/>
      <c r="HQ433" s="133"/>
      <c r="HR433" s="133"/>
      <c r="HS433" s="133"/>
      <c r="HT433" s="133"/>
      <c r="HU433" s="133"/>
      <c r="HV433" s="133"/>
      <c r="HW433" s="133"/>
      <c r="HX433" s="133"/>
      <c r="HY433" s="133"/>
      <c r="HZ433" s="133"/>
      <c r="IA433" s="133"/>
      <c r="IB433" s="133"/>
      <c r="IC433" s="133"/>
      <c r="ID433" s="133"/>
      <c r="IE433" s="133"/>
      <c r="IF433" s="133"/>
      <c r="IG433" s="133"/>
      <c r="IH433" s="133"/>
      <c r="II433" s="133"/>
      <c r="IJ433" s="133"/>
      <c r="IK433" s="133"/>
      <c r="IL433" s="133"/>
      <c r="IM433" s="133"/>
      <c r="IN433" s="133"/>
      <c r="IO433" s="133"/>
      <c r="IP433" s="133"/>
      <c r="IQ433" s="133"/>
      <c r="IR433" s="133"/>
      <c r="IS433" s="133"/>
      <c r="IT433" s="133"/>
      <c r="IU433" s="133"/>
      <c r="IV433" s="133"/>
    </row>
    <row r="434" spans="1:256" s="132" customFormat="1" ht="13.8">
      <c r="A434" s="133"/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GE434" s="133"/>
      <c r="GF434" s="133"/>
      <c r="GG434" s="133"/>
      <c r="GH434" s="133"/>
      <c r="GI434" s="133"/>
      <c r="GJ434" s="133"/>
      <c r="GK434" s="133"/>
      <c r="GL434" s="133"/>
      <c r="GM434" s="133"/>
      <c r="GN434" s="133"/>
      <c r="GO434" s="133"/>
      <c r="GP434" s="133"/>
      <c r="GQ434" s="133"/>
      <c r="GR434" s="133"/>
      <c r="GS434" s="133"/>
      <c r="GT434" s="133"/>
      <c r="GU434" s="133"/>
      <c r="GV434" s="133"/>
      <c r="GW434" s="133"/>
      <c r="GX434" s="133"/>
      <c r="GY434" s="133"/>
      <c r="GZ434" s="133"/>
      <c r="HA434" s="133"/>
      <c r="HB434" s="133"/>
      <c r="HC434" s="133"/>
      <c r="HD434" s="133"/>
      <c r="HE434" s="133"/>
      <c r="HF434" s="133"/>
      <c r="HG434" s="133"/>
      <c r="HH434" s="133"/>
      <c r="HI434" s="133"/>
      <c r="HJ434" s="133"/>
      <c r="HK434" s="133"/>
      <c r="HL434" s="133"/>
      <c r="HM434" s="133"/>
      <c r="HN434" s="133"/>
      <c r="HO434" s="133"/>
      <c r="HP434" s="133"/>
      <c r="HQ434" s="133"/>
      <c r="HR434" s="133"/>
      <c r="HS434" s="133"/>
      <c r="HT434" s="133"/>
      <c r="HU434" s="133"/>
      <c r="HV434" s="133"/>
      <c r="HW434" s="133"/>
      <c r="HX434" s="133"/>
      <c r="HY434" s="133"/>
      <c r="HZ434" s="133"/>
      <c r="IA434" s="133"/>
      <c r="IB434" s="133"/>
      <c r="IC434" s="133"/>
      <c r="ID434" s="133"/>
      <c r="IE434" s="133"/>
      <c r="IF434" s="133"/>
      <c r="IG434" s="133"/>
      <c r="IH434" s="133"/>
      <c r="II434" s="133"/>
      <c r="IJ434" s="133"/>
      <c r="IK434" s="133"/>
      <c r="IL434" s="133"/>
      <c r="IM434" s="133"/>
      <c r="IN434" s="133"/>
      <c r="IO434" s="133"/>
      <c r="IP434" s="133"/>
      <c r="IQ434" s="133"/>
      <c r="IR434" s="133"/>
      <c r="IS434" s="133"/>
      <c r="IT434" s="133"/>
      <c r="IU434" s="133"/>
      <c r="IV434" s="133"/>
    </row>
    <row r="435" spans="1:256" s="132" customFormat="1" ht="13.8">
      <c r="A435" s="133"/>
      <c r="B435" s="133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GE435" s="133"/>
      <c r="GF435" s="133"/>
      <c r="GG435" s="133"/>
      <c r="GH435" s="133"/>
      <c r="GI435" s="133"/>
      <c r="GJ435" s="133"/>
      <c r="GK435" s="133"/>
      <c r="GL435" s="133"/>
      <c r="GM435" s="133"/>
      <c r="GN435" s="133"/>
      <c r="GO435" s="133"/>
      <c r="GP435" s="133"/>
      <c r="GQ435" s="133"/>
      <c r="GR435" s="133"/>
      <c r="GS435" s="133"/>
      <c r="GT435" s="133"/>
      <c r="GU435" s="133"/>
      <c r="GV435" s="133"/>
      <c r="GW435" s="133"/>
      <c r="GX435" s="133"/>
      <c r="GY435" s="133"/>
      <c r="GZ435" s="133"/>
      <c r="HA435" s="133"/>
      <c r="HB435" s="133"/>
      <c r="HC435" s="133"/>
      <c r="HD435" s="133"/>
      <c r="HE435" s="133"/>
      <c r="HF435" s="133"/>
      <c r="HG435" s="133"/>
      <c r="HH435" s="133"/>
      <c r="HI435" s="133"/>
      <c r="HJ435" s="133"/>
      <c r="HK435" s="133"/>
      <c r="HL435" s="133"/>
      <c r="HM435" s="133"/>
      <c r="HN435" s="133"/>
      <c r="HO435" s="133"/>
      <c r="HP435" s="133"/>
      <c r="HQ435" s="133"/>
      <c r="HR435" s="133"/>
      <c r="HS435" s="133"/>
      <c r="HT435" s="133"/>
      <c r="HU435" s="133"/>
      <c r="HV435" s="133"/>
      <c r="HW435" s="133"/>
      <c r="HX435" s="133"/>
      <c r="HY435" s="133"/>
      <c r="HZ435" s="133"/>
      <c r="IA435" s="133"/>
      <c r="IB435" s="133"/>
      <c r="IC435" s="133"/>
      <c r="ID435" s="133"/>
      <c r="IE435" s="133"/>
      <c r="IF435" s="133"/>
      <c r="IG435" s="133"/>
      <c r="IH435" s="133"/>
      <c r="II435" s="133"/>
      <c r="IJ435" s="133"/>
      <c r="IK435" s="133"/>
      <c r="IL435" s="133"/>
      <c r="IM435" s="133"/>
      <c r="IN435" s="133"/>
      <c r="IO435" s="133"/>
      <c r="IP435" s="133"/>
      <c r="IQ435" s="133"/>
      <c r="IR435" s="133"/>
      <c r="IS435" s="133"/>
      <c r="IT435" s="133"/>
      <c r="IU435" s="133"/>
      <c r="IV435" s="133"/>
    </row>
    <row r="436" spans="1:256" s="132" customFormat="1" ht="13.8">
      <c r="A436" s="133"/>
      <c r="B436" s="133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GE436" s="133"/>
      <c r="GF436" s="133"/>
      <c r="GG436" s="133"/>
      <c r="GH436" s="133"/>
      <c r="GI436" s="133"/>
      <c r="GJ436" s="133"/>
      <c r="GK436" s="133"/>
      <c r="GL436" s="133"/>
      <c r="GM436" s="133"/>
      <c r="GN436" s="133"/>
      <c r="GO436" s="133"/>
      <c r="GP436" s="133"/>
      <c r="GQ436" s="133"/>
      <c r="GR436" s="133"/>
      <c r="GS436" s="133"/>
      <c r="GT436" s="133"/>
      <c r="GU436" s="133"/>
      <c r="GV436" s="133"/>
      <c r="GW436" s="133"/>
      <c r="GX436" s="133"/>
      <c r="GY436" s="133"/>
      <c r="GZ436" s="133"/>
      <c r="HA436" s="133"/>
      <c r="HB436" s="133"/>
      <c r="HC436" s="133"/>
      <c r="HD436" s="133"/>
      <c r="HE436" s="133"/>
      <c r="HF436" s="133"/>
      <c r="HG436" s="133"/>
      <c r="HH436" s="133"/>
      <c r="HI436" s="133"/>
      <c r="HJ436" s="133"/>
      <c r="HK436" s="133"/>
      <c r="HL436" s="133"/>
      <c r="HM436" s="133"/>
      <c r="HN436" s="133"/>
      <c r="HO436" s="133"/>
      <c r="HP436" s="133"/>
      <c r="HQ436" s="133"/>
      <c r="HR436" s="133"/>
      <c r="HS436" s="133"/>
      <c r="HT436" s="133"/>
      <c r="HU436" s="133"/>
      <c r="HV436" s="133"/>
      <c r="HW436" s="133"/>
      <c r="HX436" s="133"/>
      <c r="HY436" s="133"/>
      <c r="HZ436" s="133"/>
      <c r="IA436" s="133"/>
      <c r="IB436" s="133"/>
      <c r="IC436" s="133"/>
      <c r="ID436" s="133"/>
      <c r="IE436" s="133"/>
      <c r="IF436" s="133"/>
      <c r="IG436" s="133"/>
      <c r="IH436" s="133"/>
      <c r="II436" s="133"/>
      <c r="IJ436" s="133"/>
      <c r="IK436" s="133"/>
      <c r="IL436" s="133"/>
      <c r="IM436" s="133"/>
      <c r="IN436" s="133"/>
      <c r="IO436" s="133"/>
      <c r="IP436" s="133"/>
      <c r="IQ436" s="133"/>
      <c r="IR436" s="133"/>
      <c r="IS436" s="133"/>
      <c r="IT436" s="133"/>
      <c r="IU436" s="133"/>
      <c r="IV436" s="133"/>
    </row>
    <row r="437" spans="1:256" s="132" customFormat="1" ht="13.8">
      <c r="A437" s="133"/>
      <c r="B437" s="133"/>
      <c r="C437" s="133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GE437" s="133"/>
      <c r="GF437" s="133"/>
      <c r="GG437" s="133"/>
      <c r="GH437" s="133"/>
      <c r="GI437" s="133"/>
      <c r="GJ437" s="133"/>
      <c r="GK437" s="133"/>
      <c r="GL437" s="133"/>
      <c r="GM437" s="133"/>
      <c r="GN437" s="133"/>
      <c r="GO437" s="133"/>
      <c r="GP437" s="133"/>
      <c r="GQ437" s="133"/>
      <c r="GR437" s="133"/>
      <c r="GS437" s="133"/>
      <c r="GT437" s="133"/>
      <c r="GU437" s="133"/>
      <c r="GV437" s="133"/>
      <c r="GW437" s="133"/>
      <c r="GX437" s="133"/>
      <c r="GY437" s="133"/>
      <c r="GZ437" s="133"/>
      <c r="HA437" s="133"/>
      <c r="HB437" s="133"/>
      <c r="HC437" s="133"/>
      <c r="HD437" s="133"/>
      <c r="HE437" s="133"/>
      <c r="HF437" s="133"/>
      <c r="HG437" s="133"/>
      <c r="HH437" s="133"/>
      <c r="HI437" s="133"/>
      <c r="HJ437" s="133"/>
      <c r="HK437" s="133"/>
      <c r="HL437" s="133"/>
      <c r="HM437" s="133"/>
      <c r="HN437" s="133"/>
      <c r="HO437" s="133"/>
      <c r="HP437" s="133"/>
      <c r="HQ437" s="133"/>
      <c r="HR437" s="133"/>
      <c r="HS437" s="133"/>
      <c r="HT437" s="133"/>
      <c r="HU437" s="133"/>
      <c r="HV437" s="133"/>
      <c r="HW437" s="133"/>
      <c r="HX437" s="133"/>
      <c r="HY437" s="133"/>
      <c r="HZ437" s="133"/>
      <c r="IA437" s="133"/>
      <c r="IB437" s="133"/>
      <c r="IC437" s="133"/>
      <c r="ID437" s="133"/>
      <c r="IE437" s="133"/>
      <c r="IF437" s="133"/>
      <c r="IG437" s="133"/>
      <c r="IH437" s="133"/>
      <c r="II437" s="133"/>
      <c r="IJ437" s="133"/>
      <c r="IK437" s="133"/>
      <c r="IL437" s="133"/>
      <c r="IM437" s="133"/>
      <c r="IN437" s="133"/>
      <c r="IO437" s="133"/>
      <c r="IP437" s="133"/>
      <c r="IQ437" s="133"/>
      <c r="IR437" s="133"/>
      <c r="IS437" s="133"/>
      <c r="IT437" s="133"/>
      <c r="IU437" s="133"/>
      <c r="IV437" s="133"/>
    </row>
    <row r="438" spans="1:256" s="132" customFormat="1" ht="13.8">
      <c r="A438" s="133"/>
      <c r="B438" s="133"/>
      <c r="C438" s="133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GE438" s="133"/>
      <c r="GF438" s="133"/>
      <c r="GG438" s="133"/>
      <c r="GH438" s="133"/>
      <c r="GI438" s="133"/>
      <c r="GJ438" s="133"/>
      <c r="GK438" s="133"/>
      <c r="GL438" s="133"/>
      <c r="GM438" s="133"/>
      <c r="GN438" s="133"/>
      <c r="GO438" s="133"/>
      <c r="GP438" s="133"/>
      <c r="GQ438" s="133"/>
      <c r="GR438" s="133"/>
      <c r="GS438" s="133"/>
      <c r="GT438" s="133"/>
      <c r="GU438" s="133"/>
      <c r="GV438" s="133"/>
      <c r="GW438" s="133"/>
      <c r="GX438" s="133"/>
      <c r="GY438" s="133"/>
      <c r="GZ438" s="133"/>
      <c r="HA438" s="133"/>
      <c r="HB438" s="133"/>
      <c r="HC438" s="133"/>
      <c r="HD438" s="133"/>
      <c r="HE438" s="133"/>
      <c r="HF438" s="133"/>
      <c r="HG438" s="133"/>
      <c r="HH438" s="133"/>
      <c r="HI438" s="133"/>
      <c r="HJ438" s="133"/>
      <c r="HK438" s="133"/>
      <c r="HL438" s="133"/>
      <c r="HM438" s="133"/>
      <c r="HN438" s="133"/>
      <c r="HO438" s="133"/>
      <c r="HP438" s="133"/>
      <c r="HQ438" s="133"/>
      <c r="HR438" s="133"/>
      <c r="HS438" s="133"/>
      <c r="HT438" s="133"/>
      <c r="HU438" s="133"/>
      <c r="HV438" s="133"/>
      <c r="HW438" s="133"/>
      <c r="HX438" s="133"/>
      <c r="HY438" s="133"/>
      <c r="HZ438" s="133"/>
      <c r="IA438" s="133"/>
      <c r="IB438" s="133"/>
      <c r="IC438" s="133"/>
      <c r="ID438" s="133"/>
      <c r="IE438" s="133"/>
      <c r="IF438" s="133"/>
      <c r="IG438" s="133"/>
      <c r="IH438" s="133"/>
      <c r="II438" s="133"/>
      <c r="IJ438" s="133"/>
      <c r="IK438" s="133"/>
      <c r="IL438" s="133"/>
      <c r="IM438" s="133"/>
      <c r="IN438" s="133"/>
      <c r="IO438" s="133"/>
      <c r="IP438" s="133"/>
      <c r="IQ438" s="133"/>
      <c r="IR438" s="133"/>
      <c r="IS438" s="133"/>
      <c r="IT438" s="133"/>
      <c r="IU438" s="133"/>
      <c r="IV438" s="133"/>
    </row>
    <row r="439" spans="1:256" s="132" customFormat="1" ht="13.8">
      <c r="A439" s="133"/>
      <c r="B439" s="133"/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GE439" s="133"/>
      <c r="GF439" s="133"/>
      <c r="GG439" s="133"/>
      <c r="GH439" s="133"/>
      <c r="GI439" s="133"/>
      <c r="GJ439" s="133"/>
      <c r="GK439" s="133"/>
      <c r="GL439" s="133"/>
      <c r="GM439" s="133"/>
      <c r="GN439" s="133"/>
      <c r="GO439" s="133"/>
      <c r="GP439" s="133"/>
      <c r="GQ439" s="133"/>
      <c r="GR439" s="133"/>
      <c r="GS439" s="133"/>
      <c r="GT439" s="133"/>
      <c r="GU439" s="133"/>
      <c r="GV439" s="133"/>
      <c r="GW439" s="133"/>
      <c r="GX439" s="133"/>
      <c r="GY439" s="133"/>
      <c r="GZ439" s="133"/>
      <c r="HA439" s="133"/>
      <c r="HB439" s="133"/>
      <c r="HC439" s="133"/>
      <c r="HD439" s="133"/>
      <c r="HE439" s="133"/>
      <c r="HF439" s="133"/>
      <c r="HG439" s="133"/>
      <c r="HH439" s="133"/>
      <c r="HI439" s="133"/>
      <c r="HJ439" s="133"/>
      <c r="HK439" s="133"/>
      <c r="HL439" s="133"/>
      <c r="HM439" s="133"/>
      <c r="HN439" s="133"/>
      <c r="HO439" s="133"/>
      <c r="HP439" s="133"/>
      <c r="HQ439" s="133"/>
      <c r="HR439" s="133"/>
      <c r="HS439" s="133"/>
      <c r="HT439" s="133"/>
      <c r="HU439" s="133"/>
      <c r="HV439" s="133"/>
      <c r="HW439" s="133"/>
      <c r="HX439" s="133"/>
      <c r="HY439" s="133"/>
      <c r="HZ439" s="133"/>
      <c r="IA439" s="133"/>
      <c r="IB439" s="133"/>
      <c r="IC439" s="133"/>
      <c r="ID439" s="133"/>
      <c r="IE439" s="133"/>
      <c r="IF439" s="133"/>
      <c r="IG439" s="133"/>
      <c r="IH439" s="133"/>
      <c r="II439" s="133"/>
      <c r="IJ439" s="133"/>
      <c r="IK439" s="133"/>
      <c r="IL439" s="133"/>
      <c r="IM439" s="133"/>
      <c r="IN439" s="133"/>
      <c r="IO439" s="133"/>
      <c r="IP439" s="133"/>
      <c r="IQ439" s="133"/>
      <c r="IR439" s="133"/>
      <c r="IS439" s="133"/>
      <c r="IT439" s="133"/>
      <c r="IU439" s="133"/>
      <c r="IV439" s="133"/>
    </row>
    <row r="440" spans="1:256" s="132" customFormat="1" ht="13.8">
      <c r="A440" s="133"/>
      <c r="B440" s="133"/>
      <c r="C440" s="133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GE440" s="133"/>
      <c r="GF440" s="133"/>
      <c r="GG440" s="133"/>
      <c r="GH440" s="133"/>
      <c r="GI440" s="133"/>
      <c r="GJ440" s="133"/>
      <c r="GK440" s="133"/>
      <c r="GL440" s="133"/>
      <c r="GM440" s="133"/>
      <c r="GN440" s="133"/>
      <c r="GO440" s="133"/>
      <c r="GP440" s="133"/>
      <c r="GQ440" s="133"/>
      <c r="GR440" s="133"/>
      <c r="GS440" s="133"/>
      <c r="GT440" s="133"/>
      <c r="GU440" s="133"/>
      <c r="GV440" s="133"/>
      <c r="GW440" s="133"/>
      <c r="GX440" s="133"/>
      <c r="GY440" s="133"/>
      <c r="GZ440" s="133"/>
      <c r="HA440" s="133"/>
      <c r="HB440" s="133"/>
      <c r="HC440" s="133"/>
      <c r="HD440" s="133"/>
      <c r="HE440" s="133"/>
      <c r="HF440" s="133"/>
      <c r="HG440" s="133"/>
      <c r="HH440" s="133"/>
      <c r="HI440" s="133"/>
      <c r="HJ440" s="133"/>
      <c r="HK440" s="133"/>
      <c r="HL440" s="133"/>
      <c r="HM440" s="133"/>
      <c r="HN440" s="133"/>
      <c r="HO440" s="133"/>
      <c r="HP440" s="133"/>
      <c r="HQ440" s="133"/>
      <c r="HR440" s="133"/>
      <c r="HS440" s="133"/>
      <c r="HT440" s="133"/>
      <c r="HU440" s="133"/>
      <c r="HV440" s="133"/>
      <c r="HW440" s="133"/>
      <c r="HX440" s="133"/>
      <c r="HY440" s="133"/>
      <c r="HZ440" s="133"/>
      <c r="IA440" s="133"/>
      <c r="IB440" s="133"/>
      <c r="IC440" s="133"/>
      <c r="ID440" s="133"/>
      <c r="IE440" s="133"/>
      <c r="IF440" s="133"/>
      <c r="IG440" s="133"/>
      <c r="IH440" s="133"/>
      <c r="II440" s="133"/>
      <c r="IJ440" s="133"/>
      <c r="IK440" s="133"/>
      <c r="IL440" s="133"/>
      <c r="IM440" s="133"/>
      <c r="IN440" s="133"/>
      <c r="IO440" s="133"/>
      <c r="IP440" s="133"/>
      <c r="IQ440" s="133"/>
      <c r="IR440" s="133"/>
      <c r="IS440" s="133"/>
      <c r="IT440" s="133"/>
      <c r="IU440" s="133"/>
      <c r="IV440" s="133"/>
    </row>
    <row r="441" spans="1:256" s="132" customFormat="1" ht="13.8">
      <c r="A441" s="133"/>
      <c r="B441" s="133"/>
      <c r="C441" s="133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GE441" s="133"/>
      <c r="GF441" s="133"/>
      <c r="GG441" s="133"/>
      <c r="GH441" s="133"/>
      <c r="GI441" s="133"/>
      <c r="GJ441" s="133"/>
      <c r="GK441" s="133"/>
      <c r="GL441" s="133"/>
      <c r="GM441" s="133"/>
      <c r="GN441" s="133"/>
      <c r="GO441" s="133"/>
      <c r="GP441" s="133"/>
      <c r="GQ441" s="133"/>
      <c r="GR441" s="133"/>
      <c r="GS441" s="133"/>
      <c r="GT441" s="133"/>
      <c r="GU441" s="133"/>
      <c r="GV441" s="133"/>
      <c r="GW441" s="133"/>
      <c r="GX441" s="133"/>
      <c r="GY441" s="133"/>
      <c r="GZ441" s="133"/>
      <c r="HA441" s="133"/>
      <c r="HB441" s="133"/>
      <c r="HC441" s="133"/>
      <c r="HD441" s="133"/>
      <c r="HE441" s="133"/>
      <c r="HF441" s="133"/>
      <c r="HG441" s="133"/>
      <c r="HH441" s="133"/>
      <c r="HI441" s="133"/>
      <c r="HJ441" s="133"/>
      <c r="HK441" s="133"/>
      <c r="HL441" s="133"/>
      <c r="HM441" s="133"/>
      <c r="HN441" s="133"/>
      <c r="HO441" s="133"/>
      <c r="HP441" s="133"/>
      <c r="HQ441" s="133"/>
      <c r="HR441" s="133"/>
      <c r="HS441" s="133"/>
      <c r="HT441" s="133"/>
      <c r="HU441" s="133"/>
      <c r="HV441" s="133"/>
      <c r="HW441" s="133"/>
      <c r="HX441" s="133"/>
      <c r="HY441" s="133"/>
      <c r="HZ441" s="133"/>
      <c r="IA441" s="133"/>
      <c r="IB441" s="133"/>
      <c r="IC441" s="133"/>
      <c r="ID441" s="133"/>
      <c r="IE441" s="133"/>
      <c r="IF441" s="133"/>
      <c r="IG441" s="133"/>
      <c r="IH441" s="133"/>
      <c r="II441" s="133"/>
      <c r="IJ441" s="133"/>
      <c r="IK441" s="133"/>
      <c r="IL441" s="133"/>
      <c r="IM441" s="133"/>
      <c r="IN441" s="133"/>
      <c r="IO441" s="133"/>
      <c r="IP441" s="133"/>
      <c r="IQ441" s="133"/>
      <c r="IR441" s="133"/>
      <c r="IS441" s="133"/>
      <c r="IT441" s="133"/>
      <c r="IU441" s="133"/>
      <c r="IV441" s="133"/>
    </row>
    <row r="442" spans="1:256" s="132" customFormat="1" ht="13.8">
      <c r="A442" s="133"/>
      <c r="B442" s="133"/>
      <c r="C442" s="133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GE442" s="133"/>
      <c r="GF442" s="133"/>
      <c r="GG442" s="133"/>
      <c r="GH442" s="133"/>
      <c r="GI442" s="133"/>
      <c r="GJ442" s="133"/>
      <c r="GK442" s="133"/>
      <c r="GL442" s="133"/>
      <c r="GM442" s="133"/>
      <c r="GN442" s="133"/>
      <c r="GO442" s="133"/>
      <c r="GP442" s="133"/>
      <c r="GQ442" s="133"/>
      <c r="GR442" s="133"/>
      <c r="GS442" s="133"/>
      <c r="GT442" s="133"/>
      <c r="GU442" s="133"/>
      <c r="GV442" s="133"/>
      <c r="GW442" s="133"/>
      <c r="GX442" s="133"/>
      <c r="GY442" s="133"/>
      <c r="GZ442" s="133"/>
      <c r="HA442" s="133"/>
      <c r="HB442" s="133"/>
      <c r="HC442" s="133"/>
      <c r="HD442" s="133"/>
      <c r="HE442" s="133"/>
      <c r="HF442" s="133"/>
      <c r="HG442" s="133"/>
      <c r="HH442" s="133"/>
      <c r="HI442" s="133"/>
      <c r="HJ442" s="133"/>
      <c r="HK442" s="133"/>
      <c r="HL442" s="133"/>
      <c r="HM442" s="133"/>
      <c r="HN442" s="133"/>
      <c r="HO442" s="133"/>
      <c r="HP442" s="133"/>
      <c r="HQ442" s="133"/>
      <c r="HR442" s="133"/>
      <c r="HS442" s="133"/>
      <c r="HT442" s="133"/>
      <c r="HU442" s="133"/>
      <c r="HV442" s="133"/>
      <c r="HW442" s="133"/>
      <c r="HX442" s="133"/>
      <c r="HY442" s="133"/>
      <c r="HZ442" s="133"/>
      <c r="IA442" s="133"/>
      <c r="IB442" s="133"/>
      <c r="IC442" s="133"/>
      <c r="ID442" s="133"/>
      <c r="IE442" s="133"/>
      <c r="IF442" s="133"/>
      <c r="IG442" s="133"/>
      <c r="IH442" s="133"/>
      <c r="II442" s="133"/>
      <c r="IJ442" s="133"/>
      <c r="IK442" s="133"/>
      <c r="IL442" s="133"/>
      <c r="IM442" s="133"/>
      <c r="IN442" s="133"/>
      <c r="IO442" s="133"/>
      <c r="IP442" s="133"/>
      <c r="IQ442" s="133"/>
      <c r="IR442" s="133"/>
      <c r="IS442" s="133"/>
      <c r="IT442" s="133"/>
      <c r="IU442" s="133"/>
      <c r="IV442" s="133"/>
    </row>
    <row r="443" spans="1:256" s="132" customFormat="1" ht="13.8">
      <c r="A443" s="133"/>
      <c r="B443" s="133"/>
      <c r="C443" s="133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GE443" s="133"/>
      <c r="GF443" s="133"/>
      <c r="GG443" s="133"/>
      <c r="GH443" s="133"/>
      <c r="GI443" s="133"/>
      <c r="GJ443" s="133"/>
      <c r="GK443" s="133"/>
      <c r="GL443" s="133"/>
      <c r="GM443" s="133"/>
      <c r="GN443" s="133"/>
      <c r="GO443" s="133"/>
      <c r="GP443" s="133"/>
      <c r="GQ443" s="133"/>
      <c r="GR443" s="133"/>
      <c r="GS443" s="133"/>
      <c r="GT443" s="133"/>
      <c r="GU443" s="133"/>
      <c r="GV443" s="133"/>
      <c r="GW443" s="133"/>
      <c r="GX443" s="133"/>
      <c r="GY443" s="133"/>
      <c r="GZ443" s="133"/>
      <c r="HA443" s="133"/>
      <c r="HB443" s="133"/>
      <c r="HC443" s="133"/>
      <c r="HD443" s="133"/>
      <c r="HE443" s="133"/>
      <c r="HF443" s="133"/>
      <c r="HG443" s="133"/>
      <c r="HH443" s="133"/>
      <c r="HI443" s="133"/>
      <c r="HJ443" s="133"/>
      <c r="HK443" s="133"/>
      <c r="HL443" s="133"/>
      <c r="HM443" s="133"/>
      <c r="HN443" s="133"/>
      <c r="HO443" s="133"/>
      <c r="HP443" s="133"/>
      <c r="HQ443" s="133"/>
      <c r="HR443" s="133"/>
      <c r="HS443" s="133"/>
      <c r="HT443" s="133"/>
      <c r="HU443" s="133"/>
      <c r="HV443" s="133"/>
      <c r="HW443" s="133"/>
      <c r="HX443" s="133"/>
      <c r="HY443" s="133"/>
      <c r="HZ443" s="133"/>
      <c r="IA443" s="133"/>
      <c r="IB443" s="133"/>
      <c r="IC443" s="133"/>
      <c r="ID443" s="133"/>
      <c r="IE443" s="133"/>
      <c r="IF443" s="133"/>
      <c r="IG443" s="133"/>
      <c r="IH443" s="133"/>
      <c r="II443" s="133"/>
      <c r="IJ443" s="133"/>
      <c r="IK443" s="133"/>
      <c r="IL443" s="133"/>
      <c r="IM443" s="133"/>
      <c r="IN443" s="133"/>
      <c r="IO443" s="133"/>
      <c r="IP443" s="133"/>
      <c r="IQ443" s="133"/>
      <c r="IR443" s="133"/>
      <c r="IS443" s="133"/>
      <c r="IT443" s="133"/>
      <c r="IU443" s="133"/>
      <c r="IV443" s="133"/>
    </row>
    <row r="444" spans="1:256" s="132" customFormat="1" ht="13.8">
      <c r="A444" s="133"/>
      <c r="B444" s="133"/>
      <c r="C444" s="133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GE444" s="133"/>
      <c r="GF444" s="133"/>
      <c r="GG444" s="133"/>
      <c r="GH444" s="133"/>
      <c r="GI444" s="133"/>
      <c r="GJ444" s="133"/>
      <c r="GK444" s="133"/>
      <c r="GL444" s="133"/>
      <c r="GM444" s="133"/>
      <c r="GN444" s="133"/>
      <c r="GO444" s="133"/>
      <c r="GP444" s="133"/>
      <c r="GQ444" s="133"/>
      <c r="GR444" s="133"/>
      <c r="GS444" s="133"/>
      <c r="GT444" s="133"/>
      <c r="GU444" s="133"/>
      <c r="GV444" s="133"/>
      <c r="GW444" s="133"/>
      <c r="GX444" s="133"/>
      <c r="GY444" s="133"/>
      <c r="GZ444" s="133"/>
      <c r="HA444" s="133"/>
      <c r="HB444" s="133"/>
      <c r="HC444" s="133"/>
      <c r="HD444" s="133"/>
      <c r="HE444" s="133"/>
      <c r="HF444" s="133"/>
      <c r="HG444" s="133"/>
      <c r="HH444" s="133"/>
      <c r="HI444" s="133"/>
      <c r="HJ444" s="133"/>
      <c r="HK444" s="133"/>
      <c r="HL444" s="133"/>
      <c r="HM444" s="133"/>
      <c r="HN444" s="133"/>
      <c r="HO444" s="133"/>
      <c r="HP444" s="133"/>
      <c r="HQ444" s="133"/>
      <c r="HR444" s="133"/>
      <c r="HS444" s="133"/>
      <c r="HT444" s="133"/>
      <c r="HU444" s="133"/>
      <c r="HV444" s="133"/>
      <c r="HW444" s="133"/>
      <c r="HX444" s="133"/>
      <c r="HY444" s="133"/>
      <c r="HZ444" s="133"/>
      <c r="IA444" s="133"/>
      <c r="IB444" s="133"/>
      <c r="IC444" s="133"/>
      <c r="ID444" s="133"/>
      <c r="IE444" s="133"/>
      <c r="IF444" s="133"/>
      <c r="IG444" s="133"/>
      <c r="IH444" s="133"/>
      <c r="II444" s="133"/>
      <c r="IJ444" s="133"/>
      <c r="IK444" s="133"/>
      <c r="IL444" s="133"/>
      <c r="IM444" s="133"/>
      <c r="IN444" s="133"/>
      <c r="IO444" s="133"/>
      <c r="IP444" s="133"/>
      <c r="IQ444" s="133"/>
      <c r="IR444" s="133"/>
      <c r="IS444" s="133"/>
      <c r="IT444" s="133"/>
      <c r="IU444" s="133"/>
      <c r="IV444" s="133"/>
    </row>
    <row r="445" spans="1:256" s="132" customFormat="1" ht="13.8">
      <c r="A445" s="133"/>
      <c r="B445" s="133"/>
      <c r="C445" s="133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GE445" s="133"/>
      <c r="GF445" s="133"/>
      <c r="GG445" s="133"/>
      <c r="GH445" s="133"/>
      <c r="GI445" s="133"/>
      <c r="GJ445" s="133"/>
      <c r="GK445" s="133"/>
      <c r="GL445" s="133"/>
      <c r="GM445" s="133"/>
      <c r="GN445" s="133"/>
      <c r="GO445" s="133"/>
      <c r="GP445" s="133"/>
      <c r="GQ445" s="133"/>
      <c r="GR445" s="133"/>
      <c r="GS445" s="133"/>
      <c r="GT445" s="133"/>
      <c r="GU445" s="133"/>
      <c r="GV445" s="133"/>
      <c r="GW445" s="133"/>
      <c r="GX445" s="133"/>
      <c r="GY445" s="133"/>
      <c r="GZ445" s="133"/>
      <c r="HA445" s="133"/>
      <c r="HB445" s="133"/>
      <c r="HC445" s="133"/>
      <c r="HD445" s="133"/>
      <c r="HE445" s="133"/>
      <c r="HF445" s="133"/>
      <c r="HG445" s="133"/>
      <c r="HH445" s="133"/>
      <c r="HI445" s="133"/>
      <c r="HJ445" s="133"/>
      <c r="HK445" s="133"/>
      <c r="HL445" s="133"/>
      <c r="HM445" s="133"/>
      <c r="HN445" s="133"/>
      <c r="HO445" s="133"/>
      <c r="HP445" s="133"/>
      <c r="HQ445" s="133"/>
      <c r="HR445" s="133"/>
      <c r="HS445" s="133"/>
      <c r="HT445" s="133"/>
      <c r="HU445" s="133"/>
      <c r="HV445" s="133"/>
      <c r="HW445" s="133"/>
      <c r="HX445" s="133"/>
      <c r="HY445" s="133"/>
      <c r="HZ445" s="133"/>
      <c r="IA445" s="133"/>
      <c r="IB445" s="133"/>
      <c r="IC445" s="133"/>
      <c r="ID445" s="133"/>
      <c r="IE445" s="133"/>
      <c r="IF445" s="133"/>
      <c r="IG445" s="133"/>
      <c r="IH445" s="133"/>
      <c r="II445" s="133"/>
      <c r="IJ445" s="133"/>
      <c r="IK445" s="133"/>
      <c r="IL445" s="133"/>
      <c r="IM445" s="133"/>
      <c r="IN445" s="133"/>
      <c r="IO445" s="133"/>
      <c r="IP445" s="133"/>
      <c r="IQ445" s="133"/>
      <c r="IR445" s="133"/>
      <c r="IS445" s="133"/>
      <c r="IT445" s="133"/>
      <c r="IU445" s="133"/>
      <c r="IV445" s="133"/>
    </row>
    <row r="446" spans="1:256" s="132" customFormat="1" ht="13.8">
      <c r="A446" s="133"/>
      <c r="B446" s="133"/>
      <c r="C446" s="133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GE446" s="133"/>
      <c r="GF446" s="133"/>
      <c r="GG446" s="133"/>
      <c r="GH446" s="133"/>
      <c r="GI446" s="133"/>
      <c r="GJ446" s="133"/>
      <c r="GK446" s="133"/>
      <c r="GL446" s="133"/>
      <c r="GM446" s="133"/>
      <c r="GN446" s="133"/>
      <c r="GO446" s="133"/>
      <c r="GP446" s="133"/>
      <c r="GQ446" s="133"/>
      <c r="GR446" s="133"/>
      <c r="GS446" s="133"/>
      <c r="GT446" s="133"/>
      <c r="GU446" s="133"/>
      <c r="GV446" s="133"/>
      <c r="GW446" s="133"/>
      <c r="GX446" s="133"/>
      <c r="GY446" s="133"/>
      <c r="GZ446" s="133"/>
      <c r="HA446" s="133"/>
      <c r="HB446" s="133"/>
      <c r="HC446" s="133"/>
      <c r="HD446" s="133"/>
      <c r="HE446" s="133"/>
      <c r="HF446" s="133"/>
      <c r="HG446" s="133"/>
      <c r="HH446" s="133"/>
      <c r="HI446" s="133"/>
      <c r="HJ446" s="133"/>
      <c r="HK446" s="133"/>
      <c r="HL446" s="133"/>
      <c r="HM446" s="133"/>
      <c r="HN446" s="133"/>
      <c r="HO446" s="133"/>
      <c r="HP446" s="133"/>
      <c r="HQ446" s="133"/>
      <c r="HR446" s="133"/>
      <c r="HS446" s="133"/>
      <c r="HT446" s="133"/>
      <c r="HU446" s="133"/>
      <c r="HV446" s="133"/>
      <c r="HW446" s="133"/>
      <c r="HX446" s="133"/>
      <c r="HY446" s="133"/>
      <c r="HZ446" s="133"/>
      <c r="IA446" s="133"/>
      <c r="IB446" s="133"/>
      <c r="IC446" s="133"/>
      <c r="ID446" s="133"/>
      <c r="IE446" s="133"/>
      <c r="IF446" s="133"/>
      <c r="IG446" s="133"/>
      <c r="IH446" s="133"/>
      <c r="II446" s="133"/>
      <c r="IJ446" s="133"/>
      <c r="IK446" s="133"/>
      <c r="IL446" s="133"/>
      <c r="IM446" s="133"/>
      <c r="IN446" s="133"/>
      <c r="IO446" s="133"/>
      <c r="IP446" s="133"/>
      <c r="IQ446" s="133"/>
      <c r="IR446" s="133"/>
      <c r="IS446" s="133"/>
      <c r="IT446" s="133"/>
      <c r="IU446" s="133"/>
      <c r="IV446" s="133"/>
    </row>
    <row r="447" spans="1:256" s="132" customFormat="1" ht="13.8">
      <c r="A447" s="133"/>
      <c r="B447" s="133"/>
      <c r="C447" s="133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GE447" s="133"/>
      <c r="GF447" s="133"/>
      <c r="GG447" s="133"/>
      <c r="GH447" s="133"/>
      <c r="GI447" s="133"/>
      <c r="GJ447" s="133"/>
      <c r="GK447" s="133"/>
      <c r="GL447" s="133"/>
      <c r="GM447" s="133"/>
      <c r="GN447" s="133"/>
      <c r="GO447" s="133"/>
      <c r="GP447" s="133"/>
      <c r="GQ447" s="133"/>
      <c r="GR447" s="133"/>
      <c r="GS447" s="133"/>
      <c r="GT447" s="133"/>
      <c r="GU447" s="133"/>
      <c r="GV447" s="133"/>
      <c r="GW447" s="133"/>
      <c r="GX447" s="133"/>
      <c r="GY447" s="133"/>
      <c r="GZ447" s="133"/>
      <c r="HA447" s="133"/>
      <c r="HB447" s="133"/>
      <c r="HC447" s="133"/>
      <c r="HD447" s="133"/>
      <c r="HE447" s="133"/>
      <c r="HF447" s="133"/>
      <c r="HG447" s="133"/>
      <c r="HH447" s="133"/>
      <c r="HI447" s="133"/>
      <c r="HJ447" s="133"/>
      <c r="HK447" s="133"/>
      <c r="HL447" s="133"/>
      <c r="HM447" s="133"/>
      <c r="HN447" s="133"/>
      <c r="HO447" s="133"/>
      <c r="HP447" s="133"/>
      <c r="HQ447" s="133"/>
      <c r="HR447" s="133"/>
      <c r="HS447" s="133"/>
      <c r="HT447" s="133"/>
      <c r="HU447" s="133"/>
      <c r="HV447" s="133"/>
      <c r="HW447" s="133"/>
      <c r="HX447" s="133"/>
      <c r="HY447" s="133"/>
      <c r="HZ447" s="133"/>
      <c r="IA447" s="133"/>
      <c r="IB447" s="133"/>
      <c r="IC447" s="133"/>
      <c r="ID447" s="133"/>
      <c r="IE447" s="133"/>
      <c r="IF447" s="133"/>
      <c r="IG447" s="133"/>
      <c r="IH447" s="133"/>
      <c r="II447" s="133"/>
      <c r="IJ447" s="133"/>
      <c r="IK447" s="133"/>
      <c r="IL447" s="133"/>
      <c r="IM447" s="133"/>
      <c r="IN447" s="133"/>
      <c r="IO447" s="133"/>
      <c r="IP447" s="133"/>
      <c r="IQ447" s="133"/>
      <c r="IR447" s="133"/>
      <c r="IS447" s="133"/>
      <c r="IT447" s="133"/>
      <c r="IU447" s="133"/>
      <c r="IV447" s="133"/>
    </row>
    <row r="448" spans="1:256" s="132" customFormat="1" ht="13.8">
      <c r="A448" s="133"/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GE448" s="133"/>
      <c r="GF448" s="133"/>
      <c r="GG448" s="133"/>
      <c r="GH448" s="133"/>
      <c r="GI448" s="133"/>
      <c r="GJ448" s="133"/>
      <c r="GK448" s="133"/>
      <c r="GL448" s="133"/>
      <c r="GM448" s="133"/>
      <c r="GN448" s="133"/>
      <c r="GO448" s="133"/>
      <c r="GP448" s="133"/>
      <c r="GQ448" s="133"/>
      <c r="GR448" s="133"/>
      <c r="GS448" s="133"/>
      <c r="GT448" s="133"/>
      <c r="GU448" s="133"/>
      <c r="GV448" s="133"/>
      <c r="GW448" s="133"/>
      <c r="GX448" s="133"/>
      <c r="GY448" s="133"/>
      <c r="GZ448" s="133"/>
      <c r="HA448" s="133"/>
      <c r="HB448" s="133"/>
      <c r="HC448" s="133"/>
      <c r="HD448" s="133"/>
      <c r="HE448" s="133"/>
      <c r="HF448" s="133"/>
      <c r="HG448" s="133"/>
      <c r="HH448" s="133"/>
      <c r="HI448" s="133"/>
      <c r="HJ448" s="133"/>
      <c r="HK448" s="133"/>
      <c r="HL448" s="133"/>
      <c r="HM448" s="133"/>
      <c r="HN448" s="133"/>
      <c r="HO448" s="133"/>
      <c r="HP448" s="133"/>
      <c r="HQ448" s="133"/>
      <c r="HR448" s="133"/>
      <c r="HS448" s="133"/>
      <c r="HT448" s="133"/>
      <c r="HU448" s="133"/>
      <c r="HV448" s="133"/>
      <c r="HW448" s="133"/>
      <c r="HX448" s="133"/>
      <c r="HY448" s="133"/>
      <c r="HZ448" s="133"/>
      <c r="IA448" s="133"/>
      <c r="IB448" s="133"/>
      <c r="IC448" s="133"/>
      <c r="ID448" s="133"/>
      <c r="IE448" s="133"/>
      <c r="IF448" s="133"/>
      <c r="IG448" s="133"/>
      <c r="IH448" s="133"/>
      <c r="II448" s="133"/>
      <c r="IJ448" s="133"/>
      <c r="IK448" s="133"/>
      <c r="IL448" s="133"/>
      <c r="IM448" s="133"/>
      <c r="IN448" s="133"/>
      <c r="IO448" s="133"/>
      <c r="IP448" s="133"/>
      <c r="IQ448" s="133"/>
      <c r="IR448" s="133"/>
      <c r="IS448" s="133"/>
      <c r="IT448" s="133"/>
      <c r="IU448" s="133"/>
      <c r="IV448" s="133"/>
    </row>
    <row r="449" spans="1:256" s="132" customFormat="1" ht="13.8">
      <c r="A449" s="133"/>
      <c r="B449" s="133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GE449" s="133"/>
      <c r="GF449" s="133"/>
      <c r="GG449" s="133"/>
      <c r="GH449" s="133"/>
      <c r="GI449" s="133"/>
      <c r="GJ449" s="133"/>
      <c r="GK449" s="133"/>
      <c r="GL449" s="133"/>
      <c r="GM449" s="133"/>
      <c r="GN449" s="133"/>
      <c r="GO449" s="133"/>
      <c r="GP449" s="133"/>
      <c r="GQ449" s="133"/>
      <c r="GR449" s="133"/>
      <c r="GS449" s="133"/>
      <c r="GT449" s="133"/>
      <c r="GU449" s="133"/>
      <c r="GV449" s="133"/>
      <c r="GW449" s="133"/>
      <c r="GX449" s="133"/>
      <c r="GY449" s="133"/>
      <c r="GZ449" s="133"/>
      <c r="HA449" s="133"/>
      <c r="HB449" s="133"/>
      <c r="HC449" s="133"/>
      <c r="HD449" s="133"/>
      <c r="HE449" s="133"/>
      <c r="HF449" s="133"/>
      <c r="HG449" s="133"/>
      <c r="HH449" s="133"/>
      <c r="HI449" s="133"/>
      <c r="HJ449" s="133"/>
      <c r="HK449" s="133"/>
      <c r="HL449" s="133"/>
      <c r="HM449" s="133"/>
      <c r="HN449" s="133"/>
      <c r="HO449" s="133"/>
      <c r="HP449" s="133"/>
      <c r="HQ449" s="133"/>
      <c r="HR449" s="133"/>
      <c r="HS449" s="133"/>
      <c r="HT449" s="133"/>
      <c r="HU449" s="133"/>
      <c r="HV449" s="133"/>
      <c r="HW449" s="133"/>
      <c r="HX449" s="133"/>
      <c r="HY449" s="133"/>
      <c r="HZ449" s="133"/>
      <c r="IA449" s="133"/>
      <c r="IB449" s="133"/>
      <c r="IC449" s="133"/>
      <c r="ID449" s="133"/>
      <c r="IE449" s="133"/>
      <c r="IF449" s="133"/>
      <c r="IG449" s="133"/>
      <c r="IH449" s="133"/>
      <c r="II449" s="133"/>
      <c r="IJ449" s="133"/>
      <c r="IK449" s="133"/>
      <c r="IL449" s="133"/>
      <c r="IM449" s="133"/>
      <c r="IN449" s="133"/>
      <c r="IO449" s="133"/>
      <c r="IP449" s="133"/>
      <c r="IQ449" s="133"/>
      <c r="IR449" s="133"/>
      <c r="IS449" s="133"/>
      <c r="IT449" s="133"/>
      <c r="IU449" s="133"/>
      <c r="IV449" s="133"/>
    </row>
    <row r="450" spans="1:256" s="132" customFormat="1" ht="13.8">
      <c r="A450" s="133"/>
      <c r="B450" s="133"/>
      <c r="C450" s="133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GE450" s="133"/>
      <c r="GF450" s="133"/>
      <c r="GG450" s="133"/>
      <c r="GH450" s="133"/>
      <c r="GI450" s="133"/>
      <c r="GJ450" s="133"/>
      <c r="GK450" s="133"/>
      <c r="GL450" s="133"/>
      <c r="GM450" s="133"/>
      <c r="GN450" s="133"/>
      <c r="GO450" s="133"/>
      <c r="GP450" s="133"/>
      <c r="GQ450" s="133"/>
      <c r="GR450" s="133"/>
      <c r="GS450" s="133"/>
      <c r="GT450" s="133"/>
      <c r="GU450" s="133"/>
      <c r="GV450" s="133"/>
      <c r="GW450" s="133"/>
      <c r="GX450" s="133"/>
      <c r="GY450" s="133"/>
      <c r="GZ450" s="133"/>
      <c r="HA450" s="133"/>
      <c r="HB450" s="133"/>
      <c r="HC450" s="133"/>
      <c r="HD450" s="133"/>
      <c r="HE450" s="133"/>
      <c r="HF450" s="133"/>
      <c r="HG450" s="133"/>
      <c r="HH450" s="133"/>
      <c r="HI450" s="133"/>
      <c r="HJ450" s="133"/>
      <c r="HK450" s="133"/>
      <c r="HL450" s="133"/>
      <c r="HM450" s="133"/>
      <c r="HN450" s="133"/>
      <c r="HO450" s="133"/>
      <c r="HP450" s="133"/>
      <c r="HQ450" s="133"/>
      <c r="HR450" s="133"/>
      <c r="HS450" s="133"/>
      <c r="HT450" s="133"/>
      <c r="HU450" s="133"/>
      <c r="HV450" s="133"/>
      <c r="HW450" s="133"/>
      <c r="HX450" s="133"/>
      <c r="HY450" s="133"/>
      <c r="HZ450" s="133"/>
      <c r="IA450" s="133"/>
      <c r="IB450" s="133"/>
      <c r="IC450" s="133"/>
      <c r="ID450" s="133"/>
      <c r="IE450" s="133"/>
      <c r="IF450" s="133"/>
      <c r="IG450" s="133"/>
      <c r="IH450" s="133"/>
      <c r="II450" s="133"/>
      <c r="IJ450" s="133"/>
      <c r="IK450" s="133"/>
      <c r="IL450" s="133"/>
      <c r="IM450" s="133"/>
      <c r="IN450" s="133"/>
      <c r="IO450" s="133"/>
      <c r="IP450" s="133"/>
      <c r="IQ450" s="133"/>
      <c r="IR450" s="133"/>
      <c r="IS450" s="133"/>
      <c r="IT450" s="133"/>
      <c r="IU450" s="133"/>
      <c r="IV450" s="133"/>
    </row>
    <row r="451" spans="1:256" s="132" customFormat="1" ht="13.8">
      <c r="A451" s="133"/>
      <c r="B451" s="133"/>
      <c r="C451" s="133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GE451" s="133"/>
      <c r="GF451" s="133"/>
      <c r="GG451" s="133"/>
      <c r="GH451" s="133"/>
      <c r="GI451" s="133"/>
      <c r="GJ451" s="133"/>
      <c r="GK451" s="133"/>
      <c r="GL451" s="133"/>
      <c r="GM451" s="133"/>
      <c r="GN451" s="133"/>
      <c r="GO451" s="133"/>
      <c r="GP451" s="133"/>
      <c r="GQ451" s="133"/>
      <c r="GR451" s="133"/>
      <c r="GS451" s="133"/>
      <c r="GT451" s="133"/>
      <c r="GU451" s="133"/>
      <c r="GV451" s="133"/>
      <c r="GW451" s="133"/>
      <c r="GX451" s="133"/>
      <c r="GY451" s="133"/>
      <c r="GZ451" s="133"/>
      <c r="HA451" s="133"/>
      <c r="HB451" s="133"/>
      <c r="HC451" s="133"/>
      <c r="HD451" s="133"/>
      <c r="HE451" s="133"/>
      <c r="HF451" s="133"/>
      <c r="HG451" s="133"/>
      <c r="HH451" s="133"/>
      <c r="HI451" s="133"/>
      <c r="HJ451" s="133"/>
      <c r="HK451" s="133"/>
      <c r="HL451" s="133"/>
      <c r="HM451" s="133"/>
      <c r="HN451" s="133"/>
      <c r="HO451" s="133"/>
      <c r="HP451" s="133"/>
      <c r="HQ451" s="133"/>
      <c r="HR451" s="133"/>
      <c r="HS451" s="133"/>
      <c r="HT451" s="133"/>
      <c r="HU451" s="133"/>
      <c r="HV451" s="133"/>
      <c r="HW451" s="133"/>
      <c r="HX451" s="133"/>
      <c r="HY451" s="133"/>
      <c r="HZ451" s="133"/>
      <c r="IA451" s="133"/>
      <c r="IB451" s="133"/>
      <c r="IC451" s="133"/>
      <c r="ID451" s="133"/>
      <c r="IE451" s="133"/>
      <c r="IF451" s="133"/>
      <c r="IG451" s="133"/>
      <c r="IH451" s="133"/>
      <c r="II451" s="133"/>
      <c r="IJ451" s="133"/>
      <c r="IK451" s="133"/>
      <c r="IL451" s="133"/>
      <c r="IM451" s="133"/>
      <c r="IN451" s="133"/>
      <c r="IO451" s="133"/>
      <c r="IP451" s="133"/>
      <c r="IQ451" s="133"/>
      <c r="IR451" s="133"/>
      <c r="IS451" s="133"/>
      <c r="IT451" s="133"/>
      <c r="IU451" s="133"/>
      <c r="IV451" s="133"/>
    </row>
    <row r="452" spans="1:256" s="132" customFormat="1" ht="13.8">
      <c r="A452" s="133"/>
      <c r="B452" s="133"/>
      <c r="C452" s="133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GE452" s="133"/>
      <c r="GF452" s="133"/>
      <c r="GG452" s="133"/>
      <c r="GH452" s="133"/>
      <c r="GI452" s="133"/>
      <c r="GJ452" s="133"/>
      <c r="GK452" s="133"/>
      <c r="GL452" s="133"/>
      <c r="GM452" s="133"/>
      <c r="GN452" s="133"/>
      <c r="GO452" s="133"/>
      <c r="GP452" s="133"/>
      <c r="GQ452" s="133"/>
      <c r="GR452" s="133"/>
      <c r="GS452" s="133"/>
      <c r="GT452" s="133"/>
      <c r="GU452" s="133"/>
      <c r="GV452" s="133"/>
      <c r="GW452" s="133"/>
      <c r="GX452" s="133"/>
      <c r="GY452" s="133"/>
      <c r="GZ452" s="133"/>
      <c r="HA452" s="133"/>
      <c r="HB452" s="133"/>
      <c r="HC452" s="133"/>
      <c r="HD452" s="133"/>
      <c r="HE452" s="133"/>
      <c r="HF452" s="133"/>
      <c r="HG452" s="133"/>
      <c r="HH452" s="133"/>
      <c r="HI452" s="133"/>
      <c r="HJ452" s="133"/>
      <c r="HK452" s="133"/>
      <c r="HL452" s="133"/>
      <c r="HM452" s="133"/>
      <c r="HN452" s="133"/>
      <c r="HO452" s="133"/>
      <c r="HP452" s="133"/>
      <c r="HQ452" s="133"/>
      <c r="HR452" s="133"/>
      <c r="HS452" s="133"/>
      <c r="HT452" s="133"/>
      <c r="HU452" s="133"/>
      <c r="HV452" s="133"/>
      <c r="HW452" s="133"/>
      <c r="HX452" s="133"/>
      <c r="HY452" s="133"/>
      <c r="HZ452" s="133"/>
      <c r="IA452" s="133"/>
      <c r="IB452" s="133"/>
      <c r="IC452" s="133"/>
      <c r="ID452" s="133"/>
      <c r="IE452" s="133"/>
      <c r="IF452" s="133"/>
      <c r="IG452" s="133"/>
      <c r="IH452" s="133"/>
      <c r="II452" s="133"/>
      <c r="IJ452" s="133"/>
      <c r="IK452" s="133"/>
      <c r="IL452" s="133"/>
      <c r="IM452" s="133"/>
      <c r="IN452" s="133"/>
      <c r="IO452" s="133"/>
      <c r="IP452" s="133"/>
      <c r="IQ452" s="133"/>
      <c r="IR452" s="133"/>
      <c r="IS452" s="133"/>
      <c r="IT452" s="133"/>
      <c r="IU452" s="133"/>
      <c r="IV452" s="133"/>
    </row>
    <row r="453" spans="1:256" s="132" customFormat="1" ht="13.8">
      <c r="A453" s="133"/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GE453" s="133"/>
      <c r="GF453" s="133"/>
      <c r="GG453" s="133"/>
      <c r="GH453" s="133"/>
      <c r="GI453" s="133"/>
      <c r="GJ453" s="133"/>
      <c r="GK453" s="133"/>
      <c r="GL453" s="133"/>
      <c r="GM453" s="133"/>
      <c r="GN453" s="133"/>
      <c r="GO453" s="133"/>
      <c r="GP453" s="133"/>
      <c r="GQ453" s="133"/>
      <c r="GR453" s="133"/>
      <c r="GS453" s="133"/>
      <c r="GT453" s="133"/>
      <c r="GU453" s="133"/>
      <c r="GV453" s="133"/>
      <c r="GW453" s="133"/>
      <c r="GX453" s="133"/>
      <c r="GY453" s="133"/>
      <c r="GZ453" s="133"/>
      <c r="HA453" s="133"/>
      <c r="HB453" s="133"/>
      <c r="HC453" s="133"/>
      <c r="HD453" s="133"/>
      <c r="HE453" s="133"/>
      <c r="HF453" s="133"/>
      <c r="HG453" s="133"/>
      <c r="HH453" s="133"/>
      <c r="HI453" s="133"/>
      <c r="HJ453" s="133"/>
      <c r="HK453" s="133"/>
      <c r="HL453" s="133"/>
      <c r="HM453" s="133"/>
      <c r="HN453" s="133"/>
      <c r="HO453" s="133"/>
      <c r="HP453" s="133"/>
      <c r="HQ453" s="133"/>
      <c r="HR453" s="133"/>
      <c r="HS453" s="133"/>
      <c r="HT453" s="133"/>
      <c r="HU453" s="133"/>
      <c r="HV453" s="133"/>
      <c r="HW453" s="133"/>
      <c r="HX453" s="133"/>
      <c r="HY453" s="133"/>
      <c r="HZ453" s="133"/>
      <c r="IA453" s="133"/>
      <c r="IB453" s="133"/>
      <c r="IC453" s="133"/>
      <c r="ID453" s="133"/>
      <c r="IE453" s="133"/>
      <c r="IF453" s="133"/>
      <c r="IG453" s="133"/>
      <c r="IH453" s="133"/>
      <c r="II453" s="133"/>
      <c r="IJ453" s="133"/>
      <c r="IK453" s="133"/>
      <c r="IL453" s="133"/>
      <c r="IM453" s="133"/>
      <c r="IN453" s="133"/>
      <c r="IO453" s="133"/>
      <c r="IP453" s="133"/>
      <c r="IQ453" s="133"/>
      <c r="IR453" s="133"/>
      <c r="IS453" s="133"/>
      <c r="IT453" s="133"/>
      <c r="IU453" s="133"/>
      <c r="IV453" s="133"/>
    </row>
    <row r="454" spans="1:256" s="132" customFormat="1" ht="13.8">
      <c r="A454" s="133"/>
      <c r="B454" s="133"/>
      <c r="C454" s="133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GE454" s="133"/>
      <c r="GF454" s="133"/>
      <c r="GG454" s="133"/>
      <c r="GH454" s="133"/>
      <c r="GI454" s="133"/>
      <c r="GJ454" s="133"/>
      <c r="GK454" s="133"/>
      <c r="GL454" s="133"/>
      <c r="GM454" s="133"/>
      <c r="GN454" s="133"/>
      <c r="GO454" s="133"/>
      <c r="GP454" s="133"/>
      <c r="GQ454" s="133"/>
      <c r="GR454" s="133"/>
      <c r="GS454" s="133"/>
      <c r="GT454" s="133"/>
      <c r="GU454" s="133"/>
      <c r="GV454" s="133"/>
      <c r="GW454" s="133"/>
      <c r="GX454" s="133"/>
      <c r="GY454" s="133"/>
      <c r="GZ454" s="133"/>
      <c r="HA454" s="133"/>
      <c r="HB454" s="133"/>
      <c r="HC454" s="133"/>
      <c r="HD454" s="133"/>
      <c r="HE454" s="133"/>
      <c r="HF454" s="133"/>
      <c r="HG454" s="133"/>
      <c r="HH454" s="133"/>
      <c r="HI454" s="133"/>
      <c r="HJ454" s="133"/>
      <c r="HK454" s="133"/>
      <c r="HL454" s="133"/>
      <c r="HM454" s="133"/>
      <c r="HN454" s="133"/>
      <c r="HO454" s="133"/>
      <c r="HP454" s="133"/>
      <c r="HQ454" s="133"/>
      <c r="HR454" s="133"/>
      <c r="HS454" s="133"/>
      <c r="HT454" s="133"/>
      <c r="HU454" s="133"/>
      <c r="HV454" s="133"/>
      <c r="HW454" s="133"/>
      <c r="HX454" s="133"/>
      <c r="HY454" s="133"/>
      <c r="HZ454" s="133"/>
      <c r="IA454" s="133"/>
      <c r="IB454" s="133"/>
      <c r="IC454" s="133"/>
      <c r="ID454" s="133"/>
      <c r="IE454" s="133"/>
      <c r="IF454" s="133"/>
      <c r="IG454" s="133"/>
      <c r="IH454" s="133"/>
      <c r="II454" s="133"/>
      <c r="IJ454" s="133"/>
      <c r="IK454" s="133"/>
      <c r="IL454" s="133"/>
      <c r="IM454" s="133"/>
      <c r="IN454" s="133"/>
      <c r="IO454" s="133"/>
      <c r="IP454" s="133"/>
      <c r="IQ454" s="133"/>
      <c r="IR454" s="133"/>
      <c r="IS454" s="133"/>
      <c r="IT454" s="133"/>
      <c r="IU454" s="133"/>
      <c r="IV454" s="133"/>
    </row>
    <row r="455" spans="1:256" s="132" customFormat="1" ht="13.8">
      <c r="A455" s="133"/>
      <c r="B455" s="133"/>
      <c r="C455" s="133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GE455" s="133"/>
      <c r="GF455" s="133"/>
      <c r="GG455" s="133"/>
      <c r="GH455" s="133"/>
      <c r="GI455" s="133"/>
      <c r="GJ455" s="133"/>
      <c r="GK455" s="133"/>
      <c r="GL455" s="133"/>
      <c r="GM455" s="133"/>
      <c r="GN455" s="133"/>
      <c r="GO455" s="133"/>
      <c r="GP455" s="133"/>
      <c r="GQ455" s="133"/>
      <c r="GR455" s="133"/>
      <c r="GS455" s="133"/>
      <c r="GT455" s="133"/>
      <c r="GU455" s="133"/>
      <c r="GV455" s="133"/>
      <c r="GW455" s="133"/>
      <c r="GX455" s="133"/>
      <c r="GY455" s="133"/>
      <c r="GZ455" s="133"/>
      <c r="HA455" s="133"/>
      <c r="HB455" s="133"/>
      <c r="HC455" s="133"/>
      <c r="HD455" s="133"/>
      <c r="HE455" s="133"/>
      <c r="HF455" s="133"/>
      <c r="HG455" s="133"/>
      <c r="HH455" s="133"/>
      <c r="HI455" s="133"/>
      <c r="HJ455" s="133"/>
      <c r="HK455" s="133"/>
      <c r="HL455" s="133"/>
      <c r="HM455" s="133"/>
      <c r="HN455" s="133"/>
      <c r="HO455" s="133"/>
      <c r="HP455" s="133"/>
      <c r="HQ455" s="133"/>
      <c r="HR455" s="133"/>
      <c r="HS455" s="133"/>
      <c r="HT455" s="133"/>
      <c r="HU455" s="133"/>
      <c r="HV455" s="133"/>
      <c r="HW455" s="133"/>
      <c r="HX455" s="133"/>
      <c r="HY455" s="133"/>
      <c r="HZ455" s="133"/>
      <c r="IA455" s="133"/>
      <c r="IB455" s="133"/>
      <c r="IC455" s="133"/>
      <c r="ID455" s="133"/>
      <c r="IE455" s="133"/>
      <c r="IF455" s="133"/>
      <c r="IG455" s="133"/>
      <c r="IH455" s="133"/>
      <c r="II455" s="133"/>
      <c r="IJ455" s="133"/>
      <c r="IK455" s="133"/>
      <c r="IL455" s="133"/>
      <c r="IM455" s="133"/>
      <c r="IN455" s="133"/>
      <c r="IO455" s="133"/>
      <c r="IP455" s="133"/>
      <c r="IQ455" s="133"/>
      <c r="IR455" s="133"/>
      <c r="IS455" s="133"/>
      <c r="IT455" s="133"/>
      <c r="IU455" s="133"/>
      <c r="IV455" s="133"/>
    </row>
    <row r="456" spans="1:256" s="132" customFormat="1" ht="13.8">
      <c r="A456" s="133"/>
      <c r="B456" s="133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GE456" s="133"/>
      <c r="GF456" s="133"/>
      <c r="GG456" s="133"/>
      <c r="GH456" s="133"/>
      <c r="GI456" s="133"/>
      <c r="GJ456" s="133"/>
      <c r="GK456" s="133"/>
      <c r="GL456" s="133"/>
      <c r="GM456" s="133"/>
      <c r="GN456" s="133"/>
      <c r="GO456" s="133"/>
      <c r="GP456" s="133"/>
      <c r="GQ456" s="133"/>
      <c r="GR456" s="133"/>
      <c r="GS456" s="133"/>
      <c r="GT456" s="133"/>
      <c r="GU456" s="133"/>
      <c r="GV456" s="133"/>
      <c r="GW456" s="133"/>
      <c r="GX456" s="133"/>
      <c r="GY456" s="133"/>
      <c r="GZ456" s="133"/>
      <c r="HA456" s="133"/>
      <c r="HB456" s="133"/>
      <c r="HC456" s="133"/>
      <c r="HD456" s="133"/>
      <c r="HE456" s="133"/>
      <c r="HF456" s="133"/>
      <c r="HG456" s="133"/>
      <c r="HH456" s="133"/>
      <c r="HI456" s="133"/>
      <c r="HJ456" s="133"/>
      <c r="HK456" s="133"/>
      <c r="HL456" s="133"/>
      <c r="HM456" s="133"/>
      <c r="HN456" s="133"/>
      <c r="HO456" s="133"/>
      <c r="HP456" s="133"/>
      <c r="HQ456" s="133"/>
      <c r="HR456" s="133"/>
      <c r="HS456" s="133"/>
      <c r="HT456" s="133"/>
      <c r="HU456" s="133"/>
      <c r="HV456" s="133"/>
      <c r="HW456" s="133"/>
      <c r="HX456" s="133"/>
      <c r="HY456" s="133"/>
      <c r="HZ456" s="133"/>
      <c r="IA456" s="133"/>
      <c r="IB456" s="133"/>
      <c r="IC456" s="133"/>
      <c r="ID456" s="133"/>
      <c r="IE456" s="133"/>
      <c r="IF456" s="133"/>
      <c r="IG456" s="133"/>
      <c r="IH456" s="133"/>
      <c r="II456" s="133"/>
      <c r="IJ456" s="133"/>
      <c r="IK456" s="133"/>
      <c r="IL456" s="133"/>
      <c r="IM456" s="133"/>
      <c r="IN456" s="133"/>
      <c r="IO456" s="133"/>
      <c r="IP456" s="133"/>
      <c r="IQ456" s="133"/>
      <c r="IR456" s="133"/>
      <c r="IS456" s="133"/>
      <c r="IT456" s="133"/>
      <c r="IU456" s="133"/>
      <c r="IV456" s="133"/>
    </row>
    <row r="457" spans="1:256" s="132" customFormat="1" ht="13.8">
      <c r="A457" s="133"/>
      <c r="B457" s="133"/>
      <c r="C457" s="133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GE457" s="133"/>
      <c r="GF457" s="133"/>
      <c r="GG457" s="133"/>
      <c r="GH457" s="133"/>
      <c r="GI457" s="133"/>
      <c r="GJ457" s="133"/>
      <c r="GK457" s="133"/>
      <c r="GL457" s="133"/>
      <c r="GM457" s="133"/>
      <c r="GN457" s="133"/>
      <c r="GO457" s="133"/>
      <c r="GP457" s="133"/>
      <c r="GQ457" s="133"/>
      <c r="GR457" s="133"/>
      <c r="GS457" s="133"/>
      <c r="GT457" s="133"/>
      <c r="GU457" s="133"/>
      <c r="GV457" s="133"/>
      <c r="GW457" s="133"/>
      <c r="GX457" s="133"/>
      <c r="GY457" s="133"/>
      <c r="GZ457" s="133"/>
      <c r="HA457" s="133"/>
      <c r="HB457" s="133"/>
      <c r="HC457" s="133"/>
      <c r="HD457" s="133"/>
      <c r="HE457" s="133"/>
      <c r="HF457" s="133"/>
      <c r="HG457" s="133"/>
      <c r="HH457" s="133"/>
      <c r="HI457" s="133"/>
      <c r="HJ457" s="133"/>
      <c r="HK457" s="133"/>
      <c r="HL457" s="133"/>
      <c r="HM457" s="133"/>
      <c r="HN457" s="133"/>
      <c r="HO457" s="133"/>
      <c r="HP457" s="133"/>
      <c r="HQ457" s="133"/>
      <c r="HR457" s="133"/>
      <c r="HS457" s="133"/>
      <c r="HT457" s="133"/>
      <c r="HU457" s="133"/>
      <c r="HV457" s="133"/>
      <c r="HW457" s="133"/>
      <c r="HX457" s="133"/>
      <c r="HY457" s="133"/>
      <c r="HZ457" s="133"/>
      <c r="IA457" s="133"/>
      <c r="IB457" s="133"/>
      <c r="IC457" s="133"/>
      <c r="ID457" s="133"/>
      <c r="IE457" s="133"/>
      <c r="IF457" s="133"/>
      <c r="IG457" s="133"/>
      <c r="IH457" s="133"/>
      <c r="II457" s="133"/>
      <c r="IJ457" s="133"/>
      <c r="IK457" s="133"/>
      <c r="IL457" s="133"/>
      <c r="IM457" s="133"/>
      <c r="IN457" s="133"/>
      <c r="IO457" s="133"/>
      <c r="IP457" s="133"/>
      <c r="IQ457" s="133"/>
      <c r="IR457" s="133"/>
      <c r="IS457" s="133"/>
      <c r="IT457" s="133"/>
      <c r="IU457" s="133"/>
      <c r="IV457" s="133"/>
    </row>
    <row r="458" spans="1:256" s="132" customFormat="1" ht="13.8">
      <c r="A458" s="133"/>
      <c r="B458" s="133"/>
      <c r="C458" s="133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GE458" s="133"/>
      <c r="GF458" s="133"/>
      <c r="GG458" s="133"/>
      <c r="GH458" s="133"/>
      <c r="GI458" s="133"/>
      <c r="GJ458" s="133"/>
      <c r="GK458" s="133"/>
      <c r="GL458" s="133"/>
      <c r="GM458" s="133"/>
      <c r="GN458" s="133"/>
      <c r="GO458" s="133"/>
      <c r="GP458" s="133"/>
      <c r="GQ458" s="133"/>
      <c r="GR458" s="133"/>
      <c r="GS458" s="133"/>
      <c r="GT458" s="133"/>
      <c r="GU458" s="133"/>
      <c r="GV458" s="133"/>
      <c r="GW458" s="133"/>
      <c r="GX458" s="133"/>
      <c r="GY458" s="133"/>
      <c r="GZ458" s="133"/>
      <c r="HA458" s="133"/>
      <c r="HB458" s="133"/>
      <c r="HC458" s="133"/>
      <c r="HD458" s="133"/>
      <c r="HE458" s="133"/>
      <c r="HF458" s="133"/>
      <c r="HG458" s="133"/>
      <c r="HH458" s="133"/>
      <c r="HI458" s="133"/>
      <c r="HJ458" s="133"/>
      <c r="HK458" s="133"/>
      <c r="HL458" s="133"/>
      <c r="HM458" s="133"/>
      <c r="HN458" s="133"/>
      <c r="HO458" s="133"/>
      <c r="HP458" s="133"/>
      <c r="HQ458" s="133"/>
      <c r="HR458" s="133"/>
      <c r="HS458" s="133"/>
      <c r="HT458" s="133"/>
      <c r="HU458" s="133"/>
      <c r="HV458" s="133"/>
      <c r="HW458" s="133"/>
      <c r="HX458" s="133"/>
      <c r="HY458" s="133"/>
      <c r="HZ458" s="133"/>
      <c r="IA458" s="133"/>
      <c r="IB458" s="133"/>
      <c r="IC458" s="133"/>
      <c r="ID458" s="133"/>
      <c r="IE458" s="133"/>
      <c r="IF458" s="133"/>
      <c r="IG458" s="133"/>
      <c r="IH458" s="133"/>
      <c r="II458" s="133"/>
      <c r="IJ458" s="133"/>
      <c r="IK458" s="133"/>
      <c r="IL458" s="133"/>
      <c r="IM458" s="133"/>
      <c r="IN458" s="133"/>
      <c r="IO458" s="133"/>
      <c r="IP458" s="133"/>
      <c r="IQ458" s="133"/>
      <c r="IR458" s="133"/>
      <c r="IS458" s="133"/>
      <c r="IT458" s="133"/>
      <c r="IU458" s="133"/>
      <c r="IV458" s="133"/>
    </row>
    <row r="459" spans="1:256" s="132" customFormat="1" ht="13.8">
      <c r="A459" s="133"/>
      <c r="B459" s="133"/>
      <c r="C459" s="133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GE459" s="133"/>
      <c r="GF459" s="133"/>
      <c r="GG459" s="133"/>
      <c r="GH459" s="133"/>
      <c r="GI459" s="133"/>
      <c r="GJ459" s="133"/>
      <c r="GK459" s="133"/>
      <c r="GL459" s="133"/>
      <c r="GM459" s="133"/>
      <c r="GN459" s="133"/>
      <c r="GO459" s="133"/>
      <c r="GP459" s="133"/>
      <c r="GQ459" s="133"/>
      <c r="GR459" s="133"/>
      <c r="GS459" s="133"/>
      <c r="GT459" s="133"/>
      <c r="GU459" s="133"/>
      <c r="GV459" s="133"/>
      <c r="GW459" s="133"/>
      <c r="GX459" s="133"/>
      <c r="GY459" s="133"/>
      <c r="GZ459" s="133"/>
      <c r="HA459" s="133"/>
      <c r="HB459" s="133"/>
      <c r="HC459" s="133"/>
      <c r="HD459" s="133"/>
      <c r="HE459" s="133"/>
      <c r="HF459" s="133"/>
      <c r="HG459" s="133"/>
      <c r="HH459" s="133"/>
      <c r="HI459" s="133"/>
      <c r="HJ459" s="133"/>
      <c r="HK459" s="133"/>
      <c r="HL459" s="133"/>
      <c r="HM459" s="133"/>
      <c r="HN459" s="133"/>
      <c r="HO459" s="133"/>
      <c r="HP459" s="133"/>
      <c r="HQ459" s="133"/>
      <c r="HR459" s="133"/>
      <c r="HS459" s="133"/>
      <c r="HT459" s="133"/>
      <c r="HU459" s="133"/>
      <c r="HV459" s="133"/>
      <c r="HW459" s="133"/>
      <c r="HX459" s="133"/>
      <c r="HY459" s="133"/>
      <c r="HZ459" s="133"/>
      <c r="IA459" s="133"/>
      <c r="IB459" s="133"/>
      <c r="IC459" s="133"/>
      <c r="ID459" s="133"/>
      <c r="IE459" s="133"/>
      <c r="IF459" s="133"/>
      <c r="IG459" s="133"/>
      <c r="IH459" s="133"/>
      <c r="II459" s="133"/>
      <c r="IJ459" s="133"/>
      <c r="IK459" s="133"/>
      <c r="IL459" s="133"/>
      <c r="IM459" s="133"/>
      <c r="IN459" s="133"/>
      <c r="IO459" s="133"/>
      <c r="IP459" s="133"/>
      <c r="IQ459" s="133"/>
      <c r="IR459" s="133"/>
      <c r="IS459" s="133"/>
      <c r="IT459" s="133"/>
      <c r="IU459" s="133"/>
      <c r="IV459" s="133"/>
    </row>
    <row r="460" spans="1:256" s="132" customFormat="1" ht="13.8">
      <c r="A460" s="133"/>
      <c r="B460" s="133"/>
      <c r="C460" s="133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GE460" s="133"/>
      <c r="GF460" s="133"/>
      <c r="GG460" s="133"/>
      <c r="GH460" s="133"/>
      <c r="GI460" s="133"/>
      <c r="GJ460" s="133"/>
      <c r="GK460" s="133"/>
      <c r="GL460" s="133"/>
      <c r="GM460" s="133"/>
      <c r="GN460" s="133"/>
      <c r="GO460" s="133"/>
      <c r="GP460" s="133"/>
      <c r="GQ460" s="133"/>
      <c r="GR460" s="133"/>
      <c r="GS460" s="133"/>
      <c r="GT460" s="133"/>
      <c r="GU460" s="133"/>
      <c r="GV460" s="133"/>
      <c r="GW460" s="133"/>
      <c r="GX460" s="133"/>
      <c r="GY460" s="133"/>
      <c r="GZ460" s="133"/>
      <c r="HA460" s="133"/>
      <c r="HB460" s="133"/>
      <c r="HC460" s="133"/>
      <c r="HD460" s="133"/>
      <c r="HE460" s="133"/>
      <c r="HF460" s="133"/>
      <c r="HG460" s="133"/>
      <c r="HH460" s="133"/>
      <c r="HI460" s="133"/>
      <c r="HJ460" s="133"/>
      <c r="HK460" s="133"/>
      <c r="HL460" s="133"/>
      <c r="HM460" s="133"/>
      <c r="HN460" s="133"/>
      <c r="HO460" s="133"/>
      <c r="HP460" s="133"/>
      <c r="HQ460" s="133"/>
      <c r="HR460" s="133"/>
      <c r="HS460" s="133"/>
      <c r="HT460" s="133"/>
      <c r="HU460" s="133"/>
      <c r="HV460" s="133"/>
      <c r="HW460" s="133"/>
      <c r="HX460" s="133"/>
      <c r="HY460" s="133"/>
      <c r="HZ460" s="133"/>
      <c r="IA460" s="133"/>
      <c r="IB460" s="133"/>
      <c r="IC460" s="133"/>
      <c r="ID460" s="133"/>
      <c r="IE460" s="133"/>
      <c r="IF460" s="133"/>
      <c r="IG460" s="133"/>
      <c r="IH460" s="133"/>
      <c r="II460" s="133"/>
      <c r="IJ460" s="133"/>
      <c r="IK460" s="133"/>
      <c r="IL460" s="133"/>
      <c r="IM460" s="133"/>
      <c r="IN460" s="133"/>
      <c r="IO460" s="133"/>
      <c r="IP460" s="133"/>
      <c r="IQ460" s="133"/>
      <c r="IR460" s="133"/>
      <c r="IS460" s="133"/>
      <c r="IT460" s="133"/>
      <c r="IU460" s="133"/>
      <c r="IV460" s="133"/>
    </row>
    <row r="461" spans="1:256" s="132" customFormat="1" ht="13.8">
      <c r="A461" s="133"/>
      <c r="B461" s="133"/>
      <c r="C461" s="133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GE461" s="133"/>
      <c r="GF461" s="133"/>
      <c r="GG461" s="133"/>
      <c r="GH461" s="133"/>
      <c r="GI461" s="133"/>
      <c r="GJ461" s="133"/>
      <c r="GK461" s="133"/>
      <c r="GL461" s="133"/>
      <c r="GM461" s="133"/>
      <c r="GN461" s="133"/>
      <c r="GO461" s="133"/>
      <c r="GP461" s="133"/>
      <c r="GQ461" s="133"/>
      <c r="GR461" s="133"/>
      <c r="GS461" s="133"/>
      <c r="GT461" s="133"/>
      <c r="GU461" s="133"/>
      <c r="GV461" s="133"/>
      <c r="GW461" s="133"/>
      <c r="GX461" s="133"/>
      <c r="GY461" s="133"/>
      <c r="GZ461" s="133"/>
      <c r="HA461" s="133"/>
      <c r="HB461" s="133"/>
      <c r="HC461" s="133"/>
      <c r="HD461" s="133"/>
      <c r="HE461" s="133"/>
      <c r="HF461" s="133"/>
      <c r="HG461" s="133"/>
      <c r="HH461" s="133"/>
      <c r="HI461" s="133"/>
      <c r="HJ461" s="133"/>
      <c r="HK461" s="133"/>
      <c r="HL461" s="133"/>
      <c r="HM461" s="133"/>
      <c r="HN461" s="133"/>
      <c r="HO461" s="133"/>
      <c r="HP461" s="133"/>
      <c r="HQ461" s="133"/>
      <c r="HR461" s="133"/>
      <c r="HS461" s="133"/>
      <c r="HT461" s="133"/>
      <c r="HU461" s="133"/>
      <c r="HV461" s="133"/>
      <c r="HW461" s="133"/>
      <c r="HX461" s="133"/>
      <c r="HY461" s="133"/>
      <c r="HZ461" s="133"/>
      <c r="IA461" s="133"/>
      <c r="IB461" s="133"/>
      <c r="IC461" s="133"/>
      <c r="ID461" s="133"/>
      <c r="IE461" s="133"/>
      <c r="IF461" s="133"/>
      <c r="IG461" s="133"/>
      <c r="IH461" s="133"/>
      <c r="II461" s="133"/>
      <c r="IJ461" s="133"/>
      <c r="IK461" s="133"/>
      <c r="IL461" s="133"/>
      <c r="IM461" s="133"/>
      <c r="IN461" s="133"/>
      <c r="IO461" s="133"/>
      <c r="IP461" s="133"/>
      <c r="IQ461" s="133"/>
      <c r="IR461" s="133"/>
      <c r="IS461" s="133"/>
      <c r="IT461" s="133"/>
      <c r="IU461" s="133"/>
      <c r="IV461" s="133"/>
    </row>
    <row r="462" spans="1:256" s="132" customFormat="1" ht="13.8">
      <c r="A462" s="133"/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GE462" s="133"/>
      <c r="GF462" s="133"/>
      <c r="GG462" s="133"/>
      <c r="GH462" s="133"/>
      <c r="GI462" s="133"/>
      <c r="GJ462" s="133"/>
      <c r="GK462" s="133"/>
      <c r="GL462" s="133"/>
      <c r="GM462" s="133"/>
      <c r="GN462" s="133"/>
      <c r="GO462" s="133"/>
      <c r="GP462" s="133"/>
      <c r="GQ462" s="133"/>
      <c r="GR462" s="133"/>
      <c r="GS462" s="133"/>
      <c r="GT462" s="133"/>
      <c r="GU462" s="133"/>
      <c r="GV462" s="133"/>
      <c r="GW462" s="133"/>
      <c r="GX462" s="133"/>
      <c r="GY462" s="133"/>
      <c r="GZ462" s="133"/>
      <c r="HA462" s="133"/>
      <c r="HB462" s="133"/>
      <c r="HC462" s="133"/>
      <c r="HD462" s="133"/>
      <c r="HE462" s="133"/>
      <c r="HF462" s="133"/>
      <c r="HG462" s="133"/>
      <c r="HH462" s="133"/>
      <c r="HI462" s="133"/>
      <c r="HJ462" s="133"/>
      <c r="HK462" s="133"/>
      <c r="HL462" s="133"/>
      <c r="HM462" s="133"/>
      <c r="HN462" s="133"/>
      <c r="HO462" s="133"/>
      <c r="HP462" s="133"/>
      <c r="HQ462" s="133"/>
      <c r="HR462" s="133"/>
      <c r="HS462" s="133"/>
      <c r="HT462" s="133"/>
      <c r="HU462" s="133"/>
      <c r="HV462" s="133"/>
      <c r="HW462" s="133"/>
      <c r="HX462" s="133"/>
      <c r="HY462" s="133"/>
      <c r="HZ462" s="133"/>
      <c r="IA462" s="133"/>
      <c r="IB462" s="133"/>
      <c r="IC462" s="133"/>
      <c r="ID462" s="133"/>
      <c r="IE462" s="133"/>
      <c r="IF462" s="133"/>
      <c r="IG462" s="133"/>
      <c r="IH462" s="133"/>
      <c r="II462" s="133"/>
      <c r="IJ462" s="133"/>
      <c r="IK462" s="133"/>
      <c r="IL462" s="133"/>
      <c r="IM462" s="133"/>
      <c r="IN462" s="133"/>
      <c r="IO462" s="133"/>
      <c r="IP462" s="133"/>
      <c r="IQ462" s="133"/>
      <c r="IR462" s="133"/>
      <c r="IS462" s="133"/>
      <c r="IT462" s="133"/>
      <c r="IU462" s="133"/>
      <c r="IV462" s="133"/>
    </row>
    <row r="463" spans="1:256" s="132" customFormat="1" ht="13.8">
      <c r="A463" s="133"/>
      <c r="B463" s="133"/>
      <c r="C463" s="133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GE463" s="133"/>
      <c r="GF463" s="133"/>
      <c r="GG463" s="133"/>
      <c r="GH463" s="133"/>
      <c r="GI463" s="133"/>
      <c r="GJ463" s="133"/>
      <c r="GK463" s="133"/>
      <c r="GL463" s="133"/>
      <c r="GM463" s="133"/>
      <c r="GN463" s="133"/>
      <c r="GO463" s="133"/>
      <c r="GP463" s="133"/>
      <c r="GQ463" s="133"/>
      <c r="GR463" s="133"/>
      <c r="GS463" s="133"/>
      <c r="GT463" s="133"/>
      <c r="GU463" s="133"/>
      <c r="GV463" s="133"/>
      <c r="GW463" s="133"/>
      <c r="GX463" s="133"/>
      <c r="GY463" s="133"/>
      <c r="GZ463" s="133"/>
      <c r="HA463" s="133"/>
      <c r="HB463" s="133"/>
      <c r="HC463" s="133"/>
      <c r="HD463" s="133"/>
      <c r="HE463" s="133"/>
      <c r="HF463" s="133"/>
      <c r="HG463" s="133"/>
      <c r="HH463" s="133"/>
      <c r="HI463" s="133"/>
      <c r="HJ463" s="133"/>
      <c r="HK463" s="133"/>
      <c r="HL463" s="133"/>
      <c r="HM463" s="133"/>
      <c r="HN463" s="133"/>
      <c r="HO463" s="133"/>
      <c r="HP463" s="133"/>
      <c r="HQ463" s="133"/>
      <c r="HR463" s="133"/>
      <c r="HS463" s="133"/>
      <c r="HT463" s="133"/>
      <c r="HU463" s="133"/>
      <c r="HV463" s="133"/>
      <c r="HW463" s="133"/>
      <c r="HX463" s="133"/>
      <c r="HY463" s="133"/>
      <c r="HZ463" s="133"/>
      <c r="IA463" s="133"/>
      <c r="IB463" s="133"/>
      <c r="IC463" s="133"/>
      <c r="ID463" s="133"/>
      <c r="IE463" s="133"/>
      <c r="IF463" s="133"/>
      <c r="IG463" s="133"/>
      <c r="IH463" s="133"/>
      <c r="II463" s="133"/>
      <c r="IJ463" s="133"/>
      <c r="IK463" s="133"/>
      <c r="IL463" s="133"/>
      <c r="IM463" s="133"/>
      <c r="IN463" s="133"/>
      <c r="IO463" s="133"/>
      <c r="IP463" s="133"/>
      <c r="IQ463" s="133"/>
      <c r="IR463" s="133"/>
      <c r="IS463" s="133"/>
      <c r="IT463" s="133"/>
      <c r="IU463" s="133"/>
      <c r="IV463" s="133"/>
    </row>
    <row r="464" spans="1:256" s="132" customFormat="1" ht="13.8">
      <c r="A464" s="133"/>
      <c r="B464" s="133"/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GE464" s="133"/>
      <c r="GF464" s="133"/>
      <c r="GG464" s="133"/>
      <c r="GH464" s="133"/>
      <c r="GI464" s="133"/>
      <c r="GJ464" s="133"/>
      <c r="GK464" s="133"/>
      <c r="GL464" s="133"/>
      <c r="GM464" s="133"/>
      <c r="GN464" s="133"/>
      <c r="GO464" s="133"/>
      <c r="GP464" s="133"/>
      <c r="GQ464" s="133"/>
      <c r="GR464" s="133"/>
      <c r="GS464" s="133"/>
      <c r="GT464" s="133"/>
      <c r="GU464" s="133"/>
      <c r="GV464" s="133"/>
      <c r="GW464" s="133"/>
      <c r="GX464" s="133"/>
      <c r="GY464" s="133"/>
      <c r="GZ464" s="133"/>
      <c r="HA464" s="133"/>
      <c r="HB464" s="133"/>
      <c r="HC464" s="133"/>
      <c r="HD464" s="133"/>
      <c r="HE464" s="133"/>
      <c r="HF464" s="133"/>
      <c r="HG464" s="133"/>
      <c r="HH464" s="133"/>
      <c r="HI464" s="133"/>
      <c r="HJ464" s="133"/>
      <c r="HK464" s="133"/>
      <c r="HL464" s="133"/>
      <c r="HM464" s="133"/>
      <c r="HN464" s="133"/>
      <c r="HO464" s="133"/>
      <c r="HP464" s="133"/>
      <c r="HQ464" s="133"/>
      <c r="HR464" s="133"/>
      <c r="HS464" s="133"/>
      <c r="HT464" s="133"/>
      <c r="HU464" s="133"/>
      <c r="HV464" s="133"/>
      <c r="HW464" s="133"/>
      <c r="HX464" s="133"/>
      <c r="HY464" s="133"/>
      <c r="HZ464" s="133"/>
      <c r="IA464" s="133"/>
      <c r="IB464" s="133"/>
      <c r="IC464" s="133"/>
      <c r="ID464" s="133"/>
      <c r="IE464" s="133"/>
      <c r="IF464" s="133"/>
      <c r="IG464" s="133"/>
      <c r="IH464" s="133"/>
      <c r="II464" s="133"/>
      <c r="IJ464" s="133"/>
      <c r="IK464" s="133"/>
      <c r="IL464" s="133"/>
      <c r="IM464" s="133"/>
      <c r="IN464" s="133"/>
      <c r="IO464" s="133"/>
      <c r="IP464" s="133"/>
      <c r="IQ464" s="133"/>
      <c r="IR464" s="133"/>
      <c r="IS464" s="133"/>
      <c r="IT464" s="133"/>
      <c r="IU464" s="133"/>
      <c r="IV464" s="133"/>
    </row>
    <row r="465" spans="1:256" s="132" customFormat="1" ht="13.8">
      <c r="A465" s="133"/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GE465" s="133"/>
      <c r="GF465" s="133"/>
      <c r="GG465" s="133"/>
      <c r="GH465" s="133"/>
      <c r="GI465" s="133"/>
      <c r="GJ465" s="133"/>
      <c r="GK465" s="133"/>
      <c r="GL465" s="133"/>
      <c r="GM465" s="133"/>
      <c r="GN465" s="133"/>
      <c r="GO465" s="133"/>
      <c r="GP465" s="133"/>
      <c r="GQ465" s="133"/>
      <c r="GR465" s="133"/>
      <c r="GS465" s="133"/>
      <c r="GT465" s="133"/>
      <c r="GU465" s="133"/>
      <c r="GV465" s="133"/>
      <c r="GW465" s="133"/>
      <c r="GX465" s="133"/>
      <c r="GY465" s="133"/>
      <c r="GZ465" s="133"/>
      <c r="HA465" s="133"/>
      <c r="HB465" s="133"/>
      <c r="HC465" s="133"/>
      <c r="HD465" s="133"/>
      <c r="HE465" s="133"/>
      <c r="HF465" s="133"/>
      <c r="HG465" s="133"/>
      <c r="HH465" s="133"/>
      <c r="HI465" s="133"/>
      <c r="HJ465" s="133"/>
      <c r="HK465" s="133"/>
      <c r="HL465" s="133"/>
      <c r="HM465" s="133"/>
      <c r="HN465" s="133"/>
      <c r="HO465" s="133"/>
      <c r="HP465" s="133"/>
      <c r="HQ465" s="133"/>
      <c r="HR465" s="133"/>
      <c r="HS465" s="133"/>
      <c r="HT465" s="133"/>
      <c r="HU465" s="133"/>
      <c r="HV465" s="133"/>
      <c r="HW465" s="133"/>
      <c r="HX465" s="133"/>
      <c r="HY465" s="133"/>
      <c r="HZ465" s="133"/>
      <c r="IA465" s="133"/>
      <c r="IB465" s="133"/>
      <c r="IC465" s="133"/>
      <c r="ID465" s="133"/>
      <c r="IE465" s="133"/>
      <c r="IF465" s="133"/>
      <c r="IG465" s="133"/>
      <c r="IH465" s="133"/>
      <c r="II465" s="133"/>
      <c r="IJ465" s="133"/>
      <c r="IK465" s="133"/>
      <c r="IL465" s="133"/>
      <c r="IM465" s="133"/>
      <c r="IN465" s="133"/>
      <c r="IO465" s="133"/>
      <c r="IP465" s="133"/>
      <c r="IQ465" s="133"/>
      <c r="IR465" s="133"/>
      <c r="IS465" s="133"/>
      <c r="IT465" s="133"/>
      <c r="IU465" s="133"/>
      <c r="IV465" s="133"/>
    </row>
    <row r="466" spans="1:256" s="132" customFormat="1" ht="13.8">
      <c r="A466" s="133"/>
      <c r="B466" s="133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GE466" s="133"/>
      <c r="GF466" s="133"/>
      <c r="GG466" s="133"/>
      <c r="GH466" s="133"/>
      <c r="GI466" s="133"/>
      <c r="GJ466" s="133"/>
      <c r="GK466" s="133"/>
      <c r="GL466" s="133"/>
      <c r="GM466" s="133"/>
      <c r="GN466" s="133"/>
      <c r="GO466" s="133"/>
      <c r="GP466" s="133"/>
      <c r="GQ466" s="133"/>
      <c r="GR466" s="133"/>
      <c r="GS466" s="133"/>
      <c r="GT466" s="133"/>
      <c r="GU466" s="133"/>
      <c r="GV466" s="133"/>
      <c r="GW466" s="133"/>
      <c r="GX466" s="133"/>
      <c r="GY466" s="133"/>
      <c r="GZ466" s="133"/>
      <c r="HA466" s="133"/>
      <c r="HB466" s="133"/>
      <c r="HC466" s="133"/>
      <c r="HD466" s="133"/>
      <c r="HE466" s="133"/>
      <c r="HF466" s="133"/>
      <c r="HG466" s="133"/>
      <c r="HH466" s="133"/>
      <c r="HI466" s="133"/>
      <c r="HJ466" s="133"/>
      <c r="HK466" s="133"/>
      <c r="HL466" s="133"/>
      <c r="HM466" s="133"/>
      <c r="HN466" s="133"/>
      <c r="HO466" s="133"/>
      <c r="HP466" s="133"/>
      <c r="HQ466" s="133"/>
      <c r="HR466" s="133"/>
      <c r="HS466" s="133"/>
      <c r="HT466" s="133"/>
      <c r="HU466" s="133"/>
      <c r="HV466" s="133"/>
      <c r="HW466" s="133"/>
      <c r="HX466" s="133"/>
      <c r="HY466" s="133"/>
      <c r="HZ466" s="133"/>
      <c r="IA466" s="133"/>
      <c r="IB466" s="133"/>
      <c r="IC466" s="133"/>
      <c r="ID466" s="133"/>
      <c r="IE466" s="133"/>
      <c r="IF466" s="133"/>
      <c r="IG466" s="133"/>
      <c r="IH466" s="133"/>
      <c r="II466" s="133"/>
      <c r="IJ466" s="133"/>
      <c r="IK466" s="133"/>
      <c r="IL466" s="133"/>
      <c r="IM466" s="133"/>
      <c r="IN466" s="133"/>
      <c r="IO466" s="133"/>
      <c r="IP466" s="133"/>
      <c r="IQ466" s="133"/>
      <c r="IR466" s="133"/>
      <c r="IS466" s="133"/>
      <c r="IT466" s="133"/>
      <c r="IU466" s="133"/>
      <c r="IV466" s="133"/>
    </row>
    <row r="467" spans="1:256" s="132" customFormat="1" ht="13.8">
      <c r="A467" s="133"/>
      <c r="B467" s="133"/>
      <c r="C467" s="133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GE467" s="133"/>
      <c r="GF467" s="133"/>
      <c r="GG467" s="133"/>
      <c r="GH467" s="133"/>
      <c r="GI467" s="133"/>
      <c r="GJ467" s="133"/>
      <c r="GK467" s="133"/>
      <c r="GL467" s="133"/>
      <c r="GM467" s="133"/>
      <c r="GN467" s="133"/>
      <c r="GO467" s="133"/>
      <c r="GP467" s="133"/>
      <c r="GQ467" s="133"/>
      <c r="GR467" s="133"/>
      <c r="GS467" s="133"/>
      <c r="GT467" s="133"/>
      <c r="GU467" s="133"/>
      <c r="GV467" s="133"/>
      <c r="GW467" s="133"/>
      <c r="GX467" s="133"/>
      <c r="GY467" s="133"/>
      <c r="GZ467" s="133"/>
      <c r="HA467" s="133"/>
      <c r="HB467" s="133"/>
      <c r="HC467" s="133"/>
      <c r="HD467" s="133"/>
      <c r="HE467" s="133"/>
      <c r="HF467" s="133"/>
      <c r="HG467" s="133"/>
      <c r="HH467" s="133"/>
      <c r="HI467" s="133"/>
      <c r="HJ467" s="133"/>
      <c r="HK467" s="133"/>
      <c r="HL467" s="133"/>
      <c r="HM467" s="133"/>
      <c r="HN467" s="133"/>
      <c r="HO467" s="133"/>
      <c r="HP467" s="133"/>
      <c r="HQ467" s="133"/>
      <c r="HR467" s="133"/>
      <c r="HS467" s="133"/>
      <c r="HT467" s="133"/>
      <c r="HU467" s="133"/>
      <c r="HV467" s="133"/>
      <c r="HW467" s="133"/>
      <c r="HX467" s="133"/>
      <c r="HY467" s="133"/>
      <c r="HZ467" s="133"/>
      <c r="IA467" s="133"/>
      <c r="IB467" s="133"/>
      <c r="IC467" s="133"/>
      <c r="ID467" s="133"/>
      <c r="IE467" s="133"/>
      <c r="IF467" s="133"/>
      <c r="IG467" s="133"/>
      <c r="IH467" s="133"/>
      <c r="II467" s="133"/>
      <c r="IJ467" s="133"/>
      <c r="IK467" s="133"/>
      <c r="IL467" s="133"/>
      <c r="IM467" s="133"/>
      <c r="IN467" s="133"/>
      <c r="IO467" s="133"/>
      <c r="IP467" s="133"/>
      <c r="IQ467" s="133"/>
      <c r="IR467" s="133"/>
      <c r="IS467" s="133"/>
      <c r="IT467" s="133"/>
      <c r="IU467" s="133"/>
      <c r="IV467" s="133"/>
    </row>
    <row r="468" spans="1:256" s="132" customFormat="1" ht="13.8">
      <c r="A468" s="133"/>
      <c r="B468" s="133"/>
      <c r="C468" s="133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GE468" s="133"/>
      <c r="GF468" s="133"/>
      <c r="GG468" s="133"/>
      <c r="GH468" s="133"/>
      <c r="GI468" s="133"/>
      <c r="GJ468" s="133"/>
      <c r="GK468" s="133"/>
      <c r="GL468" s="133"/>
      <c r="GM468" s="133"/>
      <c r="GN468" s="133"/>
      <c r="GO468" s="133"/>
      <c r="GP468" s="133"/>
      <c r="GQ468" s="133"/>
      <c r="GR468" s="133"/>
      <c r="GS468" s="133"/>
      <c r="GT468" s="133"/>
      <c r="GU468" s="133"/>
      <c r="GV468" s="133"/>
      <c r="GW468" s="133"/>
      <c r="GX468" s="133"/>
      <c r="GY468" s="133"/>
      <c r="GZ468" s="133"/>
      <c r="HA468" s="133"/>
      <c r="HB468" s="133"/>
      <c r="HC468" s="133"/>
      <c r="HD468" s="133"/>
      <c r="HE468" s="133"/>
      <c r="HF468" s="133"/>
      <c r="HG468" s="133"/>
      <c r="HH468" s="133"/>
      <c r="HI468" s="133"/>
      <c r="HJ468" s="133"/>
      <c r="HK468" s="133"/>
      <c r="HL468" s="133"/>
      <c r="HM468" s="133"/>
      <c r="HN468" s="133"/>
      <c r="HO468" s="133"/>
      <c r="HP468" s="133"/>
      <c r="HQ468" s="133"/>
      <c r="HR468" s="133"/>
      <c r="HS468" s="133"/>
      <c r="HT468" s="133"/>
      <c r="HU468" s="133"/>
      <c r="HV468" s="133"/>
      <c r="HW468" s="133"/>
      <c r="HX468" s="133"/>
      <c r="HY468" s="133"/>
      <c r="HZ468" s="133"/>
      <c r="IA468" s="133"/>
      <c r="IB468" s="133"/>
      <c r="IC468" s="133"/>
      <c r="ID468" s="133"/>
      <c r="IE468" s="133"/>
      <c r="IF468" s="133"/>
      <c r="IG468" s="133"/>
      <c r="IH468" s="133"/>
      <c r="II468" s="133"/>
      <c r="IJ468" s="133"/>
      <c r="IK468" s="133"/>
      <c r="IL468" s="133"/>
      <c r="IM468" s="133"/>
      <c r="IN468" s="133"/>
      <c r="IO468" s="133"/>
      <c r="IP468" s="133"/>
      <c r="IQ468" s="133"/>
      <c r="IR468" s="133"/>
      <c r="IS468" s="133"/>
      <c r="IT468" s="133"/>
      <c r="IU468" s="133"/>
      <c r="IV468" s="133"/>
    </row>
    <row r="469" spans="1:256" s="132" customFormat="1" ht="13.8">
      <c r="A469" s="133"/>
      <c r="B469" s="133"/>
      <c r="C469" s="133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GE469" s="133"/>
      <c r="GF469" s="133"/>
      <c r="GG469" s="133"/>
      <c r="GH469" s="133"/>
      <c r="GI469" s="133"/>
      <c r="GJ469" s="133"/>
      <c r="GK469" s="133"/>
      <c r="GL469" s="133"/>
      <c r="GM469" s="133"/>
      <c r="GN469" s="133"/>
      <c r="GO469" s="133"/>
      <c r="GP469" s="133"/>
      <c r="GQ469" s="133"/>
      <c r="GR469" s="133"/>
      <c r="GS469" s="133"/>
      <c r="GT469" s="133"/>
      <c r="GU469" s="133"/>
      <c r="GV469" s="133"/>
      <c r="GW469" s="133"/>
      <c r="GX469" s="133"/>
      <c r="GY469" s="133"/>
      <c r="GZ469" s="133"/>
      <c r="HA469" s="133"/>
      <c r="HB469" s="133"/>
      <c r="HC469" s="133"/>
      <c r="HD469" s="133"/>
      <c r="HE469" s="133"/>
      <c r="HF469" s="133"/>
      <c r="HG469" s="133"/>
      <c r="HH469" s="133"/>
      <c r="HI469" s="133"/>
      <c r="HJ469" s="133"/>
      <c r="HK469" s="133"/>
      <c r="HL469" s="133"/>
      <c r="HM469" s="133"/>
      <c r="HN469" s="133"/>
      <c r="HO469" s="133"/>
      <c r="HP469" s="133"/>
      <c r="HQ469" s="133"/>
      <c r="HR469" s="133"/>
      <c r="HS469" s="133"/>
      <c r="HT469" s="133"/>
      <c r="HU469" s="133"/>
      <c r="HV469" s="133"/>
      <c r="HW469" s="133"/>
      <c r="HX469" s="133"/>
      <c r="HY469" s="133"/>
      <c r="HZ469" s="133"/>
      <c r="IA469" s="133"/>
      <c r="IB469" s="133"/>
      <c r="IC469" s="133"/>
      <c r="ID469" s="133"/>
      <c r="IE469" s="133"/>
      <c r="IF469" s="133"/>
      <c r="IG469" s="133"/>
      <c r="IH469" s="133"/>
      <c r="II469" s="133"/>
      <c r="IJ469" s="133"/>
      <c r="IK469" s="133"/>
      <c r="IL469" s="133"/>
      <c r="IM469" s="133"/>
      <c r="IN469" s="133"/>
      <c r="IO469" s="133"/>
      <c r="IP469" s="133"/>
      <c r="IQ469" s="133"/>
      <c r="IR469" s="133"/>
      <c r="IS469" s="133"/>
      <c r="IT469" s="133"/>
      <c r="IU469" s="133"/>
      <c r="IV469" s="133"/>
    </row>
    <row r="470" spans="1:256" s="132" customFormat="1" ht="13.8">
      <c r="A470" s="133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GE470" s="133"/>
      <c r="GF470" s="133"/>
      <c r="GG470" s="133"/>
      <c r="GH470" s="133"/>
      <c r="GI470" s="133"/>
      <c r="GJ470" s="133"/>
      <c r="GK470" s="133"/>
      <c r="GL470" s="133"/>
      <c r="GM470" s="133"/>
      <c r="GN470" s="133"/>
      <c r="GO470" s="133"/>
      <c r="GP470" s="133"/>
      <c r="GQ470" s="133"/>
      <c r="GR470" s="133"/>
      <c r="GS470" s="133"/>
      <c r="GT470" s="133"/>
      <c r="GU470" s="133"/>
      <c r="GV470" s="133"/>
      <c r="GW470" s="133"/>
      <c r="GX470" s="133"/>
      <c r="GY470" s="133"/>
      <c r="GZ470" s="133"/>
      <c r="HA470" s="133"/>
      <c r="HB470" s="133"/>
      <c r="HC470" s="133"/>
      <c r="HD470" s="133"/>
      <c r="HE470" s="133"/>
      <c r="HF470" s="133"/>
      <c r="HG470" s="133"/>
      <c r="HH470" s="133"/>
      <c r="HI470" s="133"/>
      <c r="HJ470" s="133"/>
      <c r="HK470" s="133"/>
      <c r="HL470" s="133"/>
      <c r="HM470" s="133"/>
      <c r="HN470" s="133"/>
      <c r="HO470" s="133"/>
      <c r="HP470" s="133"/>
      <c r="HQ470" s="133"/>
      <c r="HR470" s="133"/>
      <c r="HS470" s="133"/>
      <c r="HT470" s="133"/>
      <c r="HU470" s="133"/>
      <c r="HV470" s="133"/>
      <c r="HW470" s="133"/>
      <c r="HX470" s="133"/>
      <c r="HY470" s="133"/>
      <c r="HZ470" s="133"/>
      <c r="IA470" s="133"/>
      <c r="IB470" s="133"/>
      <c r="IC470" s="133"/>
      <c r="ID470" s="133"/>
      <c r="IE470" s="133"/>
      <c r="IF470" s="133"/>
      <c r="IG470" s="133"/>
      <c r="IH470" s="133"/>
      <c r="II470" s="133"/>
      <c r="IJ470" s="133"/>
      <c r="IK470" s="133"/>
      <c r="IL470" s="133"/>
      <c r="IM470" s="133"/>
      <c r="IN470" s="133"/>
      <c r="IO470" s="133"/>
      <c r="IP470" s="133"/>
      <c r="IQ470" s="133"/>
      <c r="IR470" s="133"/>
      <c r="IS470" s="133"/>
      <c r="IT470" s="133"/>
      <c r="IU470" s="133"/>
      <c r="IV470" s="133"/>
    </row>
    <row r="471" spans="1:256" s="132" customFormat="1" ht="13.8">
      <c r="A471" s="133"/>
      <c r="B471" s="133"/>
      <c r="C471" s="133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GE471" s="133"/>
      <c r="GF471" s="133"/>
      <c r="GG471" s="133"/>
      <c r="GH471" s="133"/>
      <c r="GI471" s="133"/>
      <c r="GJ471" s="133"/>
      <c r="GK471" s="133"/>
      <c r="GL471" s="133"/>
      <c r="GM471" s="133"/>
      <c r="GN471" s="133"/>
      <c r="GO471" s="133"/>
      <c r="GP471" s="133"/>
      <c r="GQ471" s="133"/>
      <c r="GR471" s="133"/>
      <c r="GS471" s="133"/>
      <c r="GT471" s="133"/>
      <c r="GU471" s="133"/>
      <c r="GV471" s="133"/>
      <c r="GW471" s="133"/>
      <c r="GX471" s="133"/>
      <c r="GY471" s="133"/>
      <c r="GZ471" s="133"/>
      <c r="HA471" s="133"/>
      <c r="HB471" s="133"/>
      <c r="HC471" s="133"/>
      <c r="HD471" s="133"/>
      <c r="HE471" s="133"/>
      <c r="HF471" s="133"/>
      <c r="HG471" s="133"/>
      <c r="HH471" s="133"/>
      <c r="HI471" s="133"/>
      <c r="HJ471" s="133"/>
      <c r="HK471" s="133"/>
      <c r="HL471" s="133"/>
      <c r="HM471" s="133"/>
      <c r="HN471" s="133"/>
      <c r="HO471" s="133"/>
      <c r="HP471" s="133"/>
      <c r="HQ471" s="133"/>
      <c r="HR471" s="133"/>
      <c r="HS471" s="133"/>
      <c r="HT471" s="133"/>
      <c r="HU471" s="133"/>
      <c r="HV471" s="133"/>
      <c r="HW471" s="133"/>
      <c r="HX471" s="133"/>
      <c r="HY471" s="133"/>
      <c r="HZ471" s="133"/>
      <c r="IA471" s="133"/>
      <c r="IB471" s="133"/>
      <c r="IC471" s="133"/>
      <c r="ID471" s="133"/>
      <c r="IE471" s="133"/>
      <c r="IF471" s="133"/>
      <c r="IG471" s="133"/>
      <c r="IH471" s="133"/>
      <c r="II471" s="133"/>
      <c r="IJ471" s="133"/>
      <c r="IK471" s="133"/>
      <c r="IL471" s="133"/>
      <c r="IM471" s="133"/>
      <c r="IN471" s="133"/>
      <c r="IO471" s="133"/>
      <c r="IP471" s="133"/>
      <c r="IQ471" s="133"/>
      <c r="IR471" s="133"/>
      <c r="IS471" s="133"/>
      <c r="IT471" s="133"/>
      <c r="IU471" s="133"/>
      <c r="IV471" s="133"/>
    </row>
    <row r="472" spans="1:256" s="132" customFormat="1" ht="13.8">
      <c r="A472" s="133"/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GE472" s="133"/>
      <c r="GF472" s="133"/>
      <c r="GG472" s="133"/>
      <c r="GH472" s="133"/>
      <c r="GI472" s="133"/>
      <c r="GJ472" s="133"/>
      <c r="GK472" s="133"/>
      <c r="GL472" s="133"/>
      <c r="GM472" s="133"/>
      <c r="GN472" s="133"/>
      <c r="GO472" s="133"/>
      <c r="GP472" s="133"/>
      <c r="GQ472" s="133"/>
      <c r="GR472" s="133"/>
      <c r="GS472" s="133"/>
      <c r="GT472" s="133"/>
      <c r="GU472" s="133"/>
      <c r="GV472" s="133"/>
      <c r="GW472" s="133"/>
      <c r="GX472" s="133"/>
      <c r="GY472" s="133"/>
      <c r="GZ472" s="133"/>
      <c r="HA472" s="133"/>
      <c r="HB472" s="133"/>
      <c r="HC472" s="133"/>
      <c r="HD472" s="133"/>
      <c r="HE472" s="133"/>
      <c r="HF472" s="133"/>
      <c r="HG472" s="133"/>
      <c r="HH472" s="133"/>
      <c r="HI472" s="133"/>
      <c r="HJ472" s="133"/>
      <c r="HK472" s="133"/>
      <c r="HL472" s="133"/>
      <c r="HM472" s="133"/>
      <c r="HN472" s="133"/>
      <c r="HO472" s="133"/>
      <c r="HP472" s="133"/>
      <c r="HQ472" s="133"/>
      <c r="HR472" s="133"/>
      <c r="HS472" s="133"/>
      <c r="HT472" s="133"/>
      <c r="HU472" s="133"/>
      <c r="HV472" s="133"/>
      <c r="HW472" s="133"/>
      <c r="HX472" s="133"/>
      <c r="HY472" s="133"/>
      <c r="HZ472" s="133"/>
      <c r="IA472" s="133"/>
      <c r="IB472" s="133"/>
      <c r="IC472" s="133"/>
      <c r="ID472" s="133"/>
      <c r="IE472" s="133"/>
      <c r="IF472" s="133"/>
      <c r="IG472" s="133"/>
      <c r="IH472" s="133"/>
      <c r="II472" s="133"/>
      <c r="IJ472" s="133"/>
      <c r="IK472" s="133"/>
      <c r="IL472" s="133"/>
      <c r="IM472" s="133"/>
      <c r="IN472" s="133"/>
      <c r="IO472" s="133"/>
      <c r="IP472" s="133"/>
      <c r="IQ472" s="133"/>
      <c r="IR472" s="133"/>
      <c r="IS472" s="133"/>
      <c r="IT472" s="133"/>
      <c r="IU472" s="133"/>
      <c r="IV472" s="133"/>
    </row>
    <row r="473" spans="1:256" s="132" customFormat="1" ht="13.8">
      <c r="A473" s="133"/>
      <c r="B473" s="133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GE473" s="133"/>
      <c r="GF473" s="133"/>
      <c r="GG473" s="133"/>
      <c r="GH473" s="133"/>
      <c r="GI473" s="133"/>
      <c r="GJ473" s="133"/>
      <c r="GK473" s="133"/>
      <c r="GL473" s="133"/>
      <c r="GM473" s="133"/>
      <c r="GN473" s="133"/>
      <c r="GO473" s="133"/>
      <c r="GP473" s="133"/>
      <c r="GQ473" s="133"/>
      <c r="GR473" s="133"/>
      <c r="GS473" s="133"/>
      <c r="GT473" s="133"/>
      <c r="GU473" s="133"/>
      <c r="GV473" s="133"/>
      <c r="GW473" s="133"/>
      <c r="GX473" s="133"/>
      <c r="GY473" s="133"/>
      <c r="GZ473" s="133"/>
      <c r="HA473" s="133"/>
      <c r="HB473" s="133"/>
      <c r="HC473" s="133"/>
      <c r="HD473" s="133"/>
      <c r="HE473" s="133"/>
      <c r="HF473" s="133"/>
      <c r="HG473" s="133"/>
      <c r="HH473" s="133"/>
      <c r="HI473" s="133"/>
      <c r="HJ473" s="133"/>
      <c r="HK473" s="133"/>
      <c r="HL473" s="133"/>
      <c r="HM473" s="133"/>
      <c r="HN473" s="133"/>
      <c r="HO473" s="133"/>
      <c r="HP473" s="133"/>
      <c r="HQ473" s="133"/>
      <c r="HR473" s="133"/>
      <c r="HS473" s="133"/>
      <c r="HT473" s="133"/>
      <c r="HU473" s="133"/>
      <c r="HV473" s="133"/>
      <c r="HW473" s="133"/>
      <c r="HX473" s="133"/>
      <c r="HY473" s="133"/>
      <c r="HZ473" s="133"/>
      <c r="IA473" s="133"/>
      <c r="IB473" s="133"/>
      <c r="IC473" s="133"/>
      <c r="ID473" s="133"/>
      <c r="IE473" s="133"/>
      <c r="IF473" s="133"/>
      <c r="IG473" s="133"/>
      <c r="IH473" s="133"/>
      <c r="II473" s="133"/>
      <c r="IJ473" s="133"/>
      <c r="IK473" s="133"/>
      <c r="IL473" s="133"/>
      <c r="IM473" s="133"/>
      <c r="IN473" s="133"/>
      <c r="IO473" s="133"/>
      <c r="IP473" s="133"/>
      <c r="IQ473" s="133"/>
      <c r="IR473" s="133"/>
      <c r="IS473" s="133"/>
      <c r="IT473" s="133"/>
      <c r="IU473" s="133"/>
      <c r="IV473" s="133"/>
    </row>
    <row r="474" spans="1:256" s="132" customFormat="1" ht="13.8">
      <c r="A474" s="133"/>
      <c r="B474" s="133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GE474" s="133"/>
      <c r="GF474" s="133"/>
      <c r="GG474" s="133"/>
      <c r="GH474" s="133"/>
      <c r="GI474" s="133"/>
      <c r="GJ474" s="133"/>
      <c r="GK474" s="133"/>
      <c r="GL474" s="133"/>
      <c r="GM474" s="133"/>
      <c r="GN474" s="133"/>
      <c r="GO474" s="133"/>
      <c r="GP474" s="133"/>
      <c r="GQ474" s="133"/>
      <c r="GR474" s="133"/>
      <c r="GS474" s="133"/>
      <c r="GT474" s="133"/>
      <c r="GU474" s="133"/>
      <c r="GV474" s="133"/>
      <c r="GW474" s="133"/>
      <c r="GX474" s="133"/>
      <c r="GY474" s="133"/>
      <c r="GZ474" s="133"/>
      <c r="HA474" s="133"/>
      <c r="HB474" s="133"/>
      <c r="HC474" s="133"/>
      <c r="HD474" s="133"/>
      <c r="HE474" s="133"/>
      <c r="HF474" s="133"/>
      <c r="HG474" s="133"/>
      <c r="HH474" s="133"/>
      <c r="HI474" s="133"/>
      <c r="HJ474" s="133"/>
      <c r="HK474" s="133"/>
      <c r="HL474" s="133"/>
      <c r="HM474" s="133"/>
      <c r="HN474" s="133"/>
      <c r="HO474" s="133"/>
      <c r="HP474" s="133"/>
      <c r="HQ474" s="133"/>
      <c r="HR474" s="133"/>
      <c r="HS474" s="133"/>
      <c r="HT474" s="133"/>
      <c r="HU474" s="133"/>
      <c r="HV474" s="133"/>
      <c r="HW474" s="133"/>
      <c r="HX474" s="133"/>
      <c r="HY474" s="133"/>
      <c r="HZ474" s="133"/>
      <c r="IA474" s="133"/>
      <c r="IB474" s="133"/>
      <c r="IC474" s="133"/>
      <c r="ID474" s="133"/>
      <c r="IE474" s="133"/>
      <c r="IF474" s="133"/>
      <c r="IG474" s="133"/>
      <c r="IH474" s="133"/>
      <c r="II474" s="133"/>
      <c r="IJ474" s="133"/>
      <c r="IK474" s="133"/>
      <c r="IL474" s="133"/>
      <c r="IM474" s="133"/>
      <c r="IN474" s="133"/>
      <c r="IO474" s="133"/>
      <c r="IP474" s="133"/>
      <c r="IQ474" s="133"/>
      <c r="IR474" s="133"/>
      <c r="IS474" s="133"/>
      <c r="IT474" s="133"/>
      <c r="IU474" s="133"/>
      <c r="IV474" s="133"/>
    </row>
    <row r="475" spans="1:256" s="132" customFormat="1" ht="13.8">
      <c r="A475" s="133"/>
      <c r="B475" s="133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GE475" s="133"/>
      <c r="GF475" s="133"/>
      <c r="GG475" s="133"/>
      <c r="GH475" s="133"/>
      <c r="GI475" s="133"/>
      <c r="GJ475" s="133"/>
      <c r="GK475" s="133"/>
      <c r="GL475" s="133"/>
      <c r="GM475" s="133"/>
      <c r="GN475" s="133"/>
      <c r="GO475" s="133"/>
      <c r="GP475" s="133"/>
      <c r="GQ475" s="133"/>
      <c r="GR475" s="133"/>
      <c r="GS475" s="133"/>
      <c r="GT475" s="133"/>
      <c r="GU475" s="133"/>
      <c r="GV475" s="133"/>
      <c r="GW475" s="133"/>
      <c r="GX475" s="133"/>
      <c r="GY475" s="133"/>
      <c r="GZ475" s="133"/>
      <c r="HA475" s="133"/>
      <c r="HB475" s="133"/>
      <c r="HC475" s="133"/>
      <c r="HD475" s="133"/>
      <c r="HE475" s="133"/>
      <c r="HF475" s="133"/>
      <c r="HG475" s="133"/>
      <c r="HH475" s="133"/>
      <c r="HI475" s="133"/>
      <c r="HJ475" s="133"/>
      <c r="HK475" s="133"/>
      <c r="HL475" s="133"/>
      <c r="HM475" s="133"/>
      <c r="HN475" s="133"/>
      <c r="HO475" s="133"/>
      <c r="HP475" s="133"/>
      <c r="HQ475" s="133"/>
      <c r="HR475" s="133"/>
      <c r="HS475" s="133"/>
      <c r="HT475" s="133"/>
      <c r="HU475" s="133"/>
      <c r="HV475" s="133"/>
      <c r="HW475" s="133"/>
      <c r="HX475" s="133"/>
      <c r="HY475" s="133"/>
      <c r="HZ475" s="133"/>
      <c r="IA475" s="133"/>
      <c r="IB475" s="133"/>
      <c r="IC475" s="133"/>
      <c r="ID475" s="133"/>
      <c r="IE475" s="133"/>
      <c r="IF475" s="133"/>
      <c r="IG475" s="133"/>
      <c r="IH475" s="133"/>
      <c r="II475" s="133"/>
      <c r="IJ475" s="133"/>
      <c r="IK475" s="133"/>
      <c r="IL475" s="133"/>
      <c r="IM475" s="133"/>
      <c r="IN475" s="133"/>
      <c r="IO475" s="133"/>
      <c r="IP475" s="133"/>
      <c r="IQ475" s="133"/>
      <c r="IR475" s="133"/>
      <c r="IS475" s="133"/>
      <c r="IT475" s="133"/>
      <c r="IU475" s="133"/>
      <c r="IV475" s="133"/>
    </row>
    <row r="476" spans="1:256" s="132" customFormat="1" ht="13.8">
      <c r="A476" s="133"/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GE476" s="133"/>
      <c r="GF476" s="133"/>
      <c r="GG476" s="133"/>
      <c r="GH476" s="133"/>
      <c r="GI476" s="133"/>
      <c r="GJ476" s="133"/>
      <c r="GK476" s="133"/>
      <c r="GL476" s="133"/>
      <c r="GM476" s="133"/>
      <c r="GN476" s="133"/>
      <c r="GO476" s="133"/>
      <c r="GP476" s="133"/>
      <c r="GQ476" s="133"/>
      <c r="GR476" s="133"/>
      <c r="GS476" s="133"/>
      <c r="GT476" s="133"/>
      <c r="GU476" s="133"/>
      <c r="GV476" s="133"/>
      <c r="GW476" s="133"/>
      <c r="GX476" s="133"/>
      <c r="GY476" s="133"/>
      <c r="GZ476" s="133"/>
      <c r="HA476" s="133"/>
      <c r="HB476" s="133"/>
      <c r="HC476" s="133"/>
      <c r="HD476" s="133"/>
      <c r="HE476" s="133"/>
      <c r="HF476" s="133"/>
      <c r="HG476" s="133"/>
      <c r="HH476" s="133"/>
      <c r="HI476" s="133"/>
      <c r="HJ476" s="133"/>
      <c r="HK476" s="133"/>
      <c r="HL476" s="133"/>
      <c r="HM476" s="133"/>
      <c r="HN476" s="133"/>
      <c r="HO476" s="133"/>
      <c r="HP476" s="133"/>
      <c r="HQ476" s="133"/>
      <c r="HR476" s="133"/>
      <c r="HS476" s="133"/>
      <c r="HT476" s="133"/>
      <c r="HU476" s="133"/>
      <c r="HV476" s="133"/>
      <c r="HW476" s="133"/>
      <c r="HX476" s="133"/>
      <c r="HY476" s="133"/>
      <c r="HZ476" s="133"/>
      <c r="IA476" s="133"/>
      <c r="IB476" s="133"/>
      <c r="IC476" s="133"/>
      <c r="ID476" s="133"/>
      <c r="IE476" s="133"/>
      <c r="IF476" s="133"/>
      <c r="IG476" s="133"/>
      <c r="IH476" s="133"/>
      <c r="II476" s="133"/>
      <c r="IJ476" s="133"/>
      <c r="IK476" s="133"/>
      <c r="IL476" s="133"/>
      <c r="IM476" s="133"/>
      <c r="IN476" s="133"/>
      <c r="IO476" s="133"/>
      <c r="IP476" s="133"/>
      <c r="IQ476" s="133"/>
      <c r="IR476" s="133"/>
      <c r="IS476" s="133"/>
      <c r="IT476" s="133"/>
      <c r="IU476" s="133"/>
      <c r="IV476" s="133"/>
    </row>
    <row r="477" spans="1:256" s="132" customFormat="1" ht="13.8">
      <c r="A477" s="133"/>
      <c r="B477" s="133"/>
      <c r="C477" s="133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GE477" s="133"/>
      <c r="GF477" s="133"/>
      <c r="GG477" s="133"/>
      <c r="GH477" s="133"/>
      <c r="GI477" s="133"/>
      <c r="GJ477" s="133"/>
      <c r="GK477" s="133"/>
      <c r="GL477" s="133"/>
      <c r="GM477" s="133"/>
      <c r="GN477" s="133"/>
      <c r="GO477" s="133"/>
      <c r="GP477" s="133"/>
      <c r="GQ477" s="133"/>
      <c r="GR477" s="133"/>
      <c r="GS477" s="133"/>
      <c r="GT477" s="133"/>
      <c r="GU477" s="133"/>
      <c r="GV477" s="133"/>
      <c r="GW477" s="133"/>
      <c r="GX477" s="133"/>
      <c r="GY477" s="133"/>
      <c r="GZ477" s="133"/>
      <c r="HA477" s="133"/>
      <c r="HB477" s="133"/>
      <c r="HC477" s="133"/>
      <c r="HD477" s="133"/>
      <c r="HE477" s="133"/>
      <c r="HF477" s="133"/>
      <c r="HG477" s="133"/>
      <c r="HH477" s="133"/>
      <c r="HI477" s="133"/>
      <c r="HJ477" s="133"/>
      <c r="HK477" s="133"/>
      <c r="HL477" s="133"/>
      <c r="HM477" s="133"/>
      <c r="HN477" s="133"/>
      <c r="HO477" s="133"/>
      <c r="HP477" s="133"/>
      <c r="HQ477" s="133"/>
      <c r="HR477" s="133"/>
      <c r="HS477" s="133"/>
      <c r="HT477" s="133"/>
      <c r="HU477" s="133"/>
      <c r="HV477" s="133"/>
      <c r="HW477" s="133"/>
      <c r="HX477" s="133"/>
      <c r="HY477" s="133"/>
      <c r="HZ477" s="133"/>
      <c r="IA477" s="133"/>
      <c r="IB477" s="133"/>
      <c r="IC477" s="133"/>
      <c r="ID477" s="133"/>
      <c r="IE477" s="133"/>
      <c r="IF477" s="133"/>
      <c r="IG477" s="133"/>
      <c r="IH477" s="133"/>
      <c r="II477" s="133"/>
      <c r="IJ477" s="133"/>
      <c r="IK477" s="133"/>
      <c r="IL477" s="133"/>
      <c r="IM477" s="133"/>
      <c r="IN477" s="133"/>
      <c r="IO477" s="133"/>
      <c r="IP477" s="133"/>
      <c r="IQ477" s="133"/>
      <c r="IR477" s="133"/>
      <c r="IS477" s="133"/>
      <c r="IT477" s="133"/>
      <c r="IU477" s="133"/>
      <c r="IV477" s="133"/>
    </row>
    <row r="478" spans="1:256" s="132" customFormat="1" ht="13.8">
      <c r="A478" s="133"/>
      <c r="B478" s="133"/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GE478" s="133"/>
      <c r="GF478" s="133"/>
      <c r="GG478" s="133"/>
      <c r="GH478" s="133"/>
      <c r="GI478" s="133"/>
      <c r="GJ478" s="133"/>
      <c r="GK478" s="133"/>
      <c r="GL478" s="133"/>
      <c r="GM478" s="133"/>
      <c r="GN478" s="133"/>
      <c r="GO478" s="133"/>
      <c r="GP478" s="133"/>
      <c r="GQ478" s="133"/>
      <c r="GR478" s="133"/>
      <c r="GS478" s="133"/>
      <c r="GT478" s="133"/>
      <c r="GU478" s="133"/>
      <c r="GV478" s="133"/>
      <c r="GW478" s="133"/>
      <c r="GX478" s="133"/>
      <c r="GY478" s="133"/>
      <c r="GZ478" s="133"/>
      <c r="HA478" s="133"/>
      <c r="HB478" s="133"/>
      <c r="HC478" s="133"/>
      <c r="HD478" s="133"/>
      <c r="HE478" s="133"/>
      <c r="HF478" s="133"/>
      <c r="HG478" s="133"/>
      <c r="HH478" s="133"/>
      <c r="HI478" s="133"/>
      <c r="HJ478" s="133"/>
      <c r="HK478" s="133"/>
      <c r="HL478" s="133"/>
      <c r="HM478" s="133"/>
      <c r="HN478" s="133"/>
      <c r="HO478" s="133"/>
      <c r="HP478" s="133"/>
      <c r="HQ478" s="133"/>
      <c r="HR478" s="133"/>
      <c r="HS478" s="133"/>
      <c r="HT478" s="133"/>
      <c r="HU478" s="133"/>
      <c r="HV478" s="133"/>
      <c r="HW478" s="133"/>
      <c r="HX478" s="133"/>
      <c r="HY478" s="133"/>
      <c r="HZ478" s="133"/>
      <c r="IA478" s="133"/>
      <c r="IB478" s="133"/>
      <c r="IC478" s="133"/>
      <c r="ID478" s="133"/>
      <c r="IE478" s="133"/>
      <c r="IF478" s="133"/>
      <c r="IG478" s="133"/>
      <c r="IH478" s="133"/>
      <c r="II478" s="133"/>
      <c r="IJ478" s="133"/>
      <c r="IK478" s="133"/>
      <c r="IL478" s="133"/>
      <c r="IM478" s="133"/>
      <c r="IN478" s="133"/>
      <c r="IO478" s="133"/>
      <c r="IP478" s="133"/>
      <c r="IQ478" s="133"/>
      <c r="IR478" s="133"/>
      <c r="IS478" s="133"/>
      <c r="IT478" s="133"/>
      <c r="IU478" s="133"/>
      <c r="IV478" s="133"/>
    </row>
    <row r="479" spans="1:256" s="132" customFormat="1" ht="13.8">
      <c r="A479" s="133"/>
      <c r="B479" s="133"/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GE479" s="133"/>
      <c r="GF479" s="133"/>
      <c r="GG479" s="133"/>
      <c r="GH479" s="133"/>
      <c r="GI479" s="133"/>
      <c r="GJ479" s="133"/>
      <c r="GK479" s="133"/>
      <c r="GL479" s="133"/>
      <c r="GM479" s="133"/>
      <c r="GN479" s="133"/>
      <c r="GO479" s="133"/>
      <c r="GP479" s="133"/>
      <c r="GQ479" s="133"/>
      <c r="GR479" s="133"/>
      <c r="GS479" s="133"/>
      <c r="GT479" s="133"/>
      <c r="GU479" s="133"/>
      <c r="GV479" s="133"/>
      <c r="GW479" s="133"/>
      <c r="GX479" s="133"/>
      <c r="GY479" s="133"/>
      <c r="GZ479" s="133"/>
      <c r="HA479" s="133"/>
      <c r="HB479" s="133"/>
      <c r="HC479" s="133"/>
      <c r="HD479" s="133"/>
      <c r="HE479" s="133"/>
      <c r="HF479" s="133"/>
      <c r="HG479" s="133"/>
      <c r="HH479" s="133"/>
      <c r="HI479" s="133"/>
      <c r="HJ479" s="133"/>
      <c r="HK479" s="133"/>
      <c r="HL479" s="133"/>
      <c r="HM479" s="133"/>
      <c r="HN479" s="133"/>
      <c r="HO479" s="133"/>
      <c r="HP479" s="133"/>
      <c r="HQ479" s="133"/>
      <c r="HR479" s="133"/>
      <c r="HS479" s="133"/>
      <c r="HT479" s="133"/>
      <c r="HU479" s="133"/>
      <c r="HV479" s="133"/>
      <c r="HW479" s="133"/>
      <c r="HX479" s="133"/>
      <c r="HY479" s="133"/>
      <c r="HZ479" s="133"/>
      <c r="IA479" s="133"/>
      <c r="IB479" s="133"/>
      <c r="IC479" s="133"/>
      <c r="ID479" s="133"/>
      <c r="IE479" s="133"/>
      <c r="IF479" s="133"/>
      <c r="IG479" s="133"/>
      <c r="IH479" s="133"/>
      <c r="II479" s="133"/>
      <c r="IJ479" s="133"/>
      <c r="IK479" s="133"/>
      <c r="IL479" s="133"/>
      <c r="IM479" s="133"/>
      <c r="IN479" s="133"/>
      <c r="IO479" s="133"/>
      <c r="IP479" s="133"/>
      <c r="IQ479" s="133"/>
      <c r="IR479" s="133"/>
      <c r="IS479" s="133"/>
      <c r="IT479" s="133"/>
      <c r="IU479" s="133"/>
      <c r="IV479" s="133"/>
    </row>
    <row r="480" spans="1:256" s="132" customFormat="1" ht="13.8">
      <c r="A480" s="133"/>
      <c r="B480" s="133"/>
      <c r="C480" s="133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GE480" s="133"/>
      <c r="GF480" s="133"/>
      <c r="GG480" s="133"/>
      <c r="GH480" s="133"/>
      <c r="GI480" s="133"/>
      <c r="GJ480" s="133"/>
      <c r="GK480" s="133"/>
      <c r="GL480" s="133"/>
      <c r="GM480" s="133"/>
      <c r="GN480" s="133"/>
      <c r="GO480" s="133"/>
      <c r="GP480" s="133"/>
      <c r="GQ480" s="133"/>
      <c r="GR480" s="133"/>
      <c r="GS480" s="133"/>
      <c r="GT480" s="133"/>
      <c r="GU480" s="133"/>
      <c r="GV480" s="133"/>
      <c r="GW480" s="133"/>
      <c r="GX480" s="133"/>
      <c r="GY480" s="133"/>
      <c r="GZ480" s="133"/>
      <c r="HA480" s="133"/>
      <c r="HB480" s="133"/>
      <c r="HC480" s="133"/>
      <c r="HD480" s="133"/>
      <c r="HE480" s="133"/>
      <c r="HF480" s="133"/>
      <c r="HG480" s="133"/>
      <c r="HH480" s="133"/>
      <c r="HI480" s="133"/>
      <c r="HJ480" s="133"/>
      <c r="HK480" s="133"/>
      <c r="HL480" s="133"/>
      <c r="HM480" s="133"/>
      <c r="HN480" s="133"/>
      <c r="HO480" s="133"/>
      <c r="HP480" s="133"/>
      <c r="HQ480" s="133"/>
      <c r="HR480" s="133"/>
      <c r="HS480" s="133"/>
      <c r="HT480" s="133"/>
      <c r="HU480" s="133"/>
      <c r="HV480" s="133"/>
      <c r="HW480" s="133"/>
      <c r="HX480" s="133"/>
      <c r="HY480" s="133"/>
      <c r="HZ480" s="133"/>
      <c r="IA480" s="133"/>
      <c r="IB480" s="133"/>
      <c r="IC480" s="133"/>
      <c r="ID480" s="133"/>
      <c r="IE480" s="133"/>
      <c r="IF480" s="133"/>
      <c r="IG480" s="133"/>
      <c r="IH480" s="133"/>
      <c r="II480" s="133"/>
      <c r="IJ480" s="133"/>
      <c r="IK480" s="133"/>
      <c r="IL480" s="133"/>
      <c r="IM480" s="133"/>
      <c r="IN480" s="133"/>
      <c r="IO480" s="133"/>
      <c r="IP480" s="133"/>
      <c r="IQ480" s="133"/>
      <c r="IR480" s="133"/>
      <c r="IS480" s="133"/>
      <c r="IT480" s="133"/>
      <c r="IU480" s="133"/>
      <c r="IV480" s="133"/>
    </row>
    <row r="481" spans="1:256" s="132" customFormat="1" ht="13.8">
      <c r="A481" s="133"/>
      <c r="B481" s="133"/>
      <c r="C481" s="133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GE481" s="133"/>
      <c r="GF481" s="133"/>
      <c r="GG481" s="133"/>
      <c r="GH481" s="133"/>
      <c r="GI481" s="133"/>
      <c r="GJ481" s="133"/>
      <c r="GK481" s="133"/>
      <c r="GL481" s="133"/>
      <c r="GM481" s="133"/>
      <c r="GN481" s="133"/>
      <c r="GO481" s="133"/>
      <c r="GP481" s="133"/>
      <c r="GQ481" s="133"/>
      <c r="GR481" s="133"/>
      <c r="GS481" s="133"/>
      <c r="GT481" s="133"/>
      <c r="GU481" s="133"/>
      <c r="GV481" s="133"/>
      <c r="GW481" s="133"/>
      <c r="GX481" s="133"/>
      <c r="GY481" s="133"/>
      <c r="GZ481" s="133"/>
      <c r="HA481" s="133"/>
      <c r="HB481" s="133"/>
      <c r="HC481" s="133"/>
      <c r="HD481" s="133"/>
      <c r="HE481" s="133"/>
      <c r="HF481" s="133"/>
      <c r="HG481" s="133"/>
      <c r="HH481" s="133"/>
      <c r="HI481" s="133"/>
      <c r="HJ481" s="133"/>
      <c r="HK481" s="133"/>
      <c r="HL481" s="133"/>
      <c r="HM481" s="133"/>
      <c r="HN481" s="133"/>
      <c r="HO481" s="133"/>
      <c r="HP481" s="133"/>
      <c r="HQ481" s="133"/>
      <c r="HR481" s="133"/>
      <c r="HS481" s="133"/>
      <c r="HT481" s="133"/>
      <c r="HU481" s="133"/>
      <c r="HV481" s="133"/>
      <c r="HW481" s="133"/>
      <c r="HX481" s="133"/>
      <c r="HY481" s="133"/>
      <c r="HZ481" s="133"/>
      <c r="IA481" s="133"/>
      <c r="IB481" s="133"/>
      <c r="IC481" s="133"/>
      <c r="ID481" s="133"/>
      <c r="IE481" s="133"/>
      <c r="IF481" s="133"/>
      <c r="IG481" s="133"/>
      <c r="IH481" s="133"/>
      <c r="II481" s="133"/>
      <c r="IJ481" s="133"/>
      <c r="IK481" s="133"/>
      <c r="IL481" s="133"/>
      <c r="IM481" s="133"/>
      <c r="IN481" s="133"/>
      <c r="IO481" s="133"/>
      <c r="IP481" s="133"/>
      <c r="IQ481" s="133"/>
      <c r="IR481" s="133"/>
      <c r="IS481" s="133"/>
      <c r="IT481" s="133"/>
      <c r="IU481" s="133"/>
      <c r="IV481" s="133"/>
    </row>
    <row r="482" spans="1:256" s="132" customFormat="1" ht="13.8">
      <c r="A482" s="133"/>
      <c r="B482" s="133"/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GE482" s="133"/>
      <c r="GF482" s="133"/>
      <c r="GG482" s="133"/>
      <c r="GH482" s="133"/>
      <c r="GI482" s="133"/>
      <c r="GJ482" s="133"/>
      <c r="GK482" s="133"/>
      <c r="GL482" s="133"/>
      <c r="GM482" s="133"/>
      <c r="GN482" s="133"/>
      <c r="GO482" s="133"/>
      <c r="GP482" s="133"/>
      <c r="GQ482" s="133"/>
      <c r="GR482" s="133"/>
      <c r="GS482" s="133"/>
      <c r="GT482" s="133"/>
      <c r="GU482" s="133"/>
      <c r="GV482" s="133"/>
      <c r="GW482" s="133"/>
      <c r="GX482" s="133"/>
      <c r="GY482" s="133"/>
      <c r="GZ482" s="133"/>
      <c r="HA482" s="133"/>
      <c r="HB482" s="133"/>
      <c r="HC482" s="133"/>
      <c r="HD482" s="133"/>
      <c r="HE482" s="133"/>
      <c r="HF482" s="133"/>
      <c r="HG482" s="133"/>
      <c r="HH482" s="133"/>
      <c r="HI482" s="133"/>
      <c r="HJ482" s="133"/>
      <c r="HK482" s="133"/>
      <c r="HL482" s="133"/>
      <c r="HM482" s="133"/>
      <c r="HN482" s="133"/>
      <c r="HO482" s="133"/>
      <c r="HP482" s="133"/>
      <c r="HQ482" s="133"/>
      <c r="HR482" s="133"/>
      <c r="HS482" s="133"/>
      <c r="HT482" s="133"/>
      <c r="HU482" s="133"/>
      <c r="HV482" s="133"/>
      <c r="HW482" s="133"/>
      <c r="HX482" s="133"/>
      <c r="HY482" s="133"/>
      <c r="HZ482" s="133"/>
      <c r="IA482" s="133"/>
      <c r="IB482" s="133"/>
      <c r="IC482" s="133"/>
      <c r="ID482" s="133"/>
      <c r="IE482" s="133"/>
      <c r="IF482" s="133"/>
      <c r="IG482" s="133"/>
      <c r="IH482" s="133"/>
      <c r="II482" s="133"/>
      <c r="IJ482" s="133"/>
      <c r="IK482" s="133"/>
      <c r="IL482" s="133"/>
      <c r="IM482" s="133"/>
      <c r="IN482" s="133"/>
      <c r="IO482" s="133"/>
      <c r="IP482" s="133"/>
      <c r="IQ482" s="133"/>
      <c r="IR482" s="133"/>
      <c r="IS482" s="133"/>
      <c r="IT482" s="133"/>
      <c r="IU482" s="133"/>
      <c r="IV482" s="133"/>
    </row>
    <row r="483" spans="1:256" s="132" customFormat="1" ht="13.8">
      <c r="A483" s="133"/>
      <c r="B483" s="133"/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GE483" s="133"/>
      <c r="GF483" s="133"/>
      <c r="GG483" s="133"/>
      <c r="GH483" s="133"/>
      <c r="GI483" s="133"/>
      <c r="GJ483" s="133"/>
      <c r="GK483" s="133"/>
      <c r="GL483" s="133"/>
      <c r="GM483" s="133"/>
      <c r="GN483" s="133"/>
      <c r="GO483" s="133"/>
      <c r="GP483" s="133"/>
      <c r="GQ483" s="133"/>
      <c r="GR483" s="133"/>
      <c r="GS483" s="133"/>
      <c r="GT483" s="133"/>
      <c r="GU483" s="133"/>
      <c r="GV483" s="133"/>
      <c r="GW483" s="133"/>
      <c r="GX483" s="133"/>
      <c r="GY483" s="133"/>
      <c r="GZ483" s="133"/>
      <c r="HA483" s="133"/>
      <c r="HB483" s="133"/>
      <c r="HC483" s="133"/>
      <c r="HD483" s="133"/>
      <c r="HE483" s="133"/>
      <c r="HF483" s="133"/>
      <c r="HG483" s="133"/>
      <c r="HH483" s="133"/>
      <c r="HI483" s="133"/>
      <c r="HJ483" s="133"/>
      <c r="HK483" s="133"/>
      <c r="HL483" s="133"/>
      <c r="HM483" s="133"/>
      <c r="HN483" s="133"/>
      <c r="HO483" s="133"/>
      <c r="HP483" s="133"/>
      <c r="HQ483" s="133"/>
      <c r="HR483" s="133"/>
      <c r="HS483" s="133"/>
      <c r="HT483" s="133"/>
      <c r="HU483" s="133"/>
      <c r="HV483" s="133"/>
      <c r="HW483" s="133"/>
      <c r="HX483" s="133"/>
      <c r="HY483" s="133"/>
      <c r="HZ483" s="133"/>
      <c r="IA483" s="133"/>
      <c r="IB483" s="133"/>
      <c r="IC483" s="133"/>
      <c r="ID483" s="133"/>
      <c r="IE483" s="133"/>
      <c r="IF483" s="133"/>
      <c r="IG483" s="133"/>
      <c r="IH483" s="133"/>
      <c r="II483" s="133"/>
      <c r="IJ483" s="133"/>
      <c r="IK483" s="133"/>
      <c r="IL483" s="133"/>
      <c r="IM483" s="133"/>
      <c r="IN483" s="133"/>
      <c r="IO483" s="133"/>
      <c r="IP483" s="133"/>
      <c r="IQ483" s="133"/>
      <c r="IR483" s="133"/>
      <c r="IS483" s="133"/>
      <c r="IT483" s="133"/>
      <c r="IU483" s="133"/>
      <c r="IV483" s="133"/>
    </row>
    <row r="484" spans="1:256" s="132" customFormat="1" ht="13.8">
      <c r="A484" s="133"/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GE484" s="133"/>
      <c r="GF484" s="133"/>
      <c r="GG484" s="133"/>
      <c r="GH484" s="133"/>
      <c r="GI484" s="133"/>
      <c r="GJ484" s="133"/>
      <c r="GK484" s="133"/>
      <c r="GL484" s="133"/>
      <c r="GM484" s="133"/>
      <c r="GN484" s="133"/>
      <c r="GO484" s="133"/>
      <c r="GP484" s="133"/>
      <c r="GQ484" s="133"/>
      <c r="GR484" s="133"/>
      <c r="GS484" s="133"/>
      <c r="GT484" s="133"/>
      <c r="GU484" s="133"/>
      <c r="GV484" s="133"/>
      <c r="GW484" s="133"/>
      <c r="GX484" s="133"/>
      <c r="GY484" s="133"/>
      <c r="GZ484" s="133"/>
      <c r="HA484" s="133"/>
      <c r="HB484" s="133"/>
      <c r="HC484" s="133"/>
      <c r="HD484" s="133"/>
      <c r="HE484" s="133"/>
      <c r="HF484" s="133"/>
      <c r="HG484" s="133"/>
      <c r="HH484" s="133"/>
      <c r="HI484" s="133"/>
      <c r="HJ484" s="133"/>
      <c r="HK484" s="133"/>
      <c r="HL484" s="133"/>
      <c r="HM484" s="133"/>
      <c r="HN484" s="133"/>
      <c r="HO484" s="133"/>
      <c r="HP484" s="133"/>
      <c r="HQ484" s="133"/>
      <c r="HR484" s="133"/>
      <c r="HS484" s="133"/>
      <c r="HT484" s="133"/>
      <c r="HU484" s="133"/>
      <c r="HV484" s="133"/>
      <c r="HW484" s="133"/>
      <c r="HX484" s="133"/>
      <c r="HY484" s="133"/>
      <c r="HZ484" s="133"/>
      <c r="IA484" s="133"/>
      <c r="IB484" s="133"/>
      <c r="IC484" s="133"/>
      <c r="ID484" s="133"/>
      <c r="IE484" s="133"/>
      <c r="IF484" s="133"/>
      <c r="IG484" s="133"/>
      <c r="IH484" s="133"/>
      <c r="II484" s="133"/>
      <c r="IJ484" s="133"/>
      <c r="IK484" s="133"/>
      <c r="IL484" s="133"/>
      <c r="IM484" s="133"/>
      <c r="IN484" s="133"/>
      <c r="IO484" s="133"/>
      <c r="IP484" s="133"/>
      <c r="IQ484" s="133"/>
      <c r="IR484" s="133"/>
      <c r="IS484" s="133"/>
      <c r="IT484" s="133"/>
      <c r="IU484" s="133"/>
      <c r="IV484" s="133"/>
    </row>
    <row r="485" spans="1:256" s="132" customFormat="1" ht="13.8">
      <c r="A485" s="133"/>
      <c r="B485" s="133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GE485" s="133"/>
      <c r="GF485" s="133"/>
      <c r="GG485" s="133"/>
      <c r="GH485" s="133"/>
      <c r="GI485" s="133"/>
      <c r="GJ485" s="133"/>
      <c r="GK485" s="133"/>
      <c r="GL485" s="133"/>
      <c r="GM485" s="133"/>
      <c r="GN485" s="133"/>
      <c r="GO485" s="133"/>
      <c r="GP485" s="133"/>
      <c r="GQ485" s="133"/>
      <c r="GR485" s="133"/>
      <c r="GS485" s="133"/>
      <c r="GT485" s="133"/>
      <c r="GU485" s="133"/>
      <c r="GV485" s="133"/>
      <c r="GW485" s="133"/>
      <c r="GX485" s="133"/>
      <c r="GY485" s="133"/>
      <c r="GZ485" s="133"/>
      <c r="HA485" s="133"/>
      <c r="HB485" s="133"/>
      <c r="HC485" s="133"/>
      <c r="HD485" s="133"/>
      <c r="HE485" s="133"/>
      <c r="HF485" s="133"/>
      <c r="HG485" s="133"/>
      <c r="HH485" s="133"/>
      <c r="HI485" s="133"/>
      <c r="HJ485" s="133"/>
      <c r="HK485" s="133"/>
      <c r="HL485" s="133"/>
      <c r="HM485" s="133"/>
      <c r="HN485" s="133"/>
      <c r="HO485" s="133"/>
      <c r="HP485" s="133"/>
      <c r="HQ485" s="133"/>
      <c r="HR485" s="133"/>
      <c r="HS485" s="133"/>
      <c r="HT485" s="133"/>
      <c r="HU485" s="133"/>
      <c r="HV485" s="133"/>
      <c r="HW485" s="133"/>
      <c r="HX485" s="133"/>
      <c r="HY485" s="133"/>
      <c r="HZ485" s="133"/>
      <c r="IA485" s="133"/>
      <c r="IB485" s="133"/>
      <c r="IC485" s="133"/>
      <c r="ID485" s="133"/>
      <c r="IE485" s="133"/>
      <c r="IF485" s="133"/>
      <c r="IG485" s="133"/>
      <c r="IH485" s="133"/>
      <c r="II485" s="133"/>
      <c r="IJ485" s="133"/>
      <c r="IK485" s="133"/>
      <c r="IL485" s="133"/>
      <c r="IM485" s="133"/>
      <c r="IN485" s="133"/>
      <c r="IO485" s="133"/>
      <c r="IP485" s="133"/>
      <c r="IQ485" s="133"/>
      <c r="IR485" s="133"/>
      <c r="IS485" s="133"/>
      <c r="IT485" s="133"/>
      <c r="IU485" s="133"/>
      <c r="IV485" s="133"/>
    </row>
    <row r="486" spans="1:256" s="132" customFormat="1" ht="13.8">
      <c r="A486" s="133"/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GE486" s="133"/>
      <c r="GF486" s="133"/>
      <c r="GG486" s="133"/>
      <c r="GH486" s="133"/>
      <c r="GI486" s="133"/>
      <c r="GJ486" s="133"/>
      <c r="GK486" s="133"/>
      <c r="GL486" s="133"/>
      <c r="GM486" s="133"/>
      <c r="GN486" s="133"/>
      <c r="GO486" s="133"/>
      <c r="GP486" s="133"/>
      <c r="GQ486" s="133"/>
      <c r="GR486" s="133"/>
      <c r="GS486" s="133"/>
      <c r="GT486" s="133"/>
      <c r="GU486" s="133"/>
      <c r="GV486" s="133"/>
      <c r="GW486" s="133"/>
      <c r="GX486" s="133"/>
      <c r="GY486" s="133"/>
      <c r="GZ486" s="133"/>
      <c r="HA486" s="133"/>
      <c r="HB486" s="133"/>
      <c r="HC486" s="133"/>
      <c r="HD486" s="133"/>
      <c r="HE486" s="133"/>
      <c r="HF486" s="133"/>
      <c r="HG486" s="133"/>
      <c r="HH486" s="133"/>
      <c r="HI486" s="133"/>
      <c r="HJ486" s="133"/>
      <c r="HK486" s="133"/>
      <c r="HL486" s="133"/>
      <c r="HM486" s="133"/>
      <c r="HN486" s="133"/>
      <c r="HO486" s="133"/>
      <c r="HP486" s="133"/>
      <c r="HQ486" s="133"/>
      <c r="HR486" s="133"/>
      <c r="HS486" s="133"/>
      <c r="HT486" s="133"/>
      <c r="HU486" s="133"/>
      <c r="HV486" s="133"/>
      <c r="HW486" s="133"/>
      <c r="HX486" s="133"/>
      <c r="HY486" s="133"/>
      <c r="HZ486" s="133"/>
      <c r="IA486" s="133"/>
      <c r="IB486" s="133"/>
      <c r="IC486" s="133"/>
      <c r="ID486" s="133"/>
      <c r="IE486" s="133"/>
      <c r="IF486" s="133"/>
      <c r="IG486" s="133"/>
      <c r="IH486" s="133"/>
      <c r="II486" s="133"/>
      <c r="IJ486" s="133"/>
      <c r="IK486" s="133"/>
      <c r="IL486" s="133"/>
      <c r="IM486" s="133"/>
      <c r="IN486" s="133"/>
      <c r="IO486" s="133"/>
      <c r="IP486" s="133"/>
      <c r="IQ486" s="133"/>
      <c r="IR486" s="133"/>
      <c r="IS486" s="133"/>
      <c r="IT486" s="133"/>
      <c r="IU486" s="133"/>
      <c r="IV486" s="133"/>
    </row>
    <row r="487" spans="1:256" s="132" customFormat="1" ht="13.8">
      <c r="A487" s="133"/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GE487" s="133"/>
      <c r="GF487" s="133"/>
      <c r="GG487" s="133"/>
      <c r="GH487" s="133"/>
      <c r="GI487" s="133"/>
      <c r="GJ487" s="133"/>
      <c r="GK487" s="133"/>
      <c r="GL487" s="133"/>
      <c r="GM487" s="133"/>
      <c r="GN487" s="133"/>
      <c r="GO487" s="133"/>
      <c r="GP487" s="133"/>
      <c r="GQ487" s="133"/>
      <c r="GR487" s="133"/>
      <c r="GS487" s="133"/>
      <c r="GT487" s="133"/>
      <c r="GU487" s="133"/>
      <c r="GV487" s="133"/>
      <c r="GW487" s="133"/>
      <c r="GX487" s="133"/>
      <c r="GY487" s="133"/>
      <c r="GZ487" s="133"/>
      <c r="HA487" s="133"/>
      <c r="HB487" s="133"/>
      <c r="HC487" s="133"/>
      <c r="HD487" s="133"/>
      <c r="HE487" s="133"/>
      <c r="HF487" s="133"/>
      <c r="HG487" s="133"/>
      <c r="HH487" s="133"/>
      <c r="HI487" s="133"/>
      <c r="HJ487" s="133"/>
      <c r="HK487" s="133"/>
      <c r="HL487" s="133"/>
      <c r="HM487" s="133"/>
      <c r="HN487" s="133"/>
      <c r="HO487" s="133"/>
      <c r="HP487" s="133"/>
      <c r="HQ487" s="133"/>
      <c r="HR487" s="133"/>
      <c r="HS487" s="133"/>
      <c r="HT487" s="133"/>
      <c r="HU487" s="133"/>
      <c r="HV487" s="133"/>
      <c r="HW487" s="133"/>
      <c r="HX487" s="133"/>
      <c r="HY487" s="133"/>
      <c r="HZ487" s="133"/>
      <c r="IA487" s="133"/>
      <c r="IB487" s="133"/>
      <c r="IC487" s="133"/>
      <c r="ID487" s="133"/>
      <c r="IE487" s="133"/>
      <c r="IF487" s="133"/>
      <c r="IG487" s="133"/>
      <c r="IH487" s="133"/>
      <c r="II487" s="133"/>
      <c r="IJ487" s="133"/>
      <c r="IK487" s="133"/>
      <c r="IL487" s="133"/>
      <c r="IM487" s="133"/>
      <c r="IN487" s="133"/>
      <c r="IO487" s="133"/>
      <c r="IP487" s="133"/>
      <c r="IQ487" s="133"/>
      <c r="IR487" s="133"/>
      <c r="IS487" s="133"/>
      <c r="IT487" s="133"/>
      <c r="IU487" s="133"/>
      <c r="IV487" s="133"/>
    </row>
    <row r="488" spans="1:256" s="132" customFormat="1" ht="13.8">
      <c r="A488" s="133"/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GE488" s="133"/>
      <c r="GF488" s="133"/>
      <c r="GG488" s="133"/>
      <c r="GH488" s="133"/>
      <c r="GI488" s="133"/>
      <c r="GJ488" s="133"/>
      <c r="GK488" s="133"/>
      <c r="GL488" s="133"/>
      <c r="GM488" s="133"/>
      <c r="GN488" s="133"/>
      <c r="GO488" s="133"/>
      <c r="GP488" s="133"/>
      <c r="GQ488" s="133"/>
      <c r="GR488" s="133"/>
      <c r="GS488" s="133"/>
      <c r="GT488" s="133"/>
      <c r="GU488" s="133"/>
      <c r="GV488" s="133"/>
      <c r="GW488" s="133"/>
      <c r="GX488" s="133"/>
      <c r="GY488" s="133"/>
      <c r="GZ488" s="133"/>
      <c r="HA488" s="133"/>
      <c r="HB488" s="133"/>
      <c r="HC488" s="133"/>
      <c r="HD488" s="133"/>
      <c r="HE488" s="133"/>
      <c r="HF488" s="133"/>
      <c r="HG488" s="133"/>
      <c r="HH488" s="133"/>
      <c r="HI488" s="133"/>
      <c r="HJ488" s="133"/>
      <c r="HK488" s="133"/>
      <c r="HL488" s="133"/>
      <c r="HM488" s="133"/>
      <c r="HN488" s="133"/>
      <c r="HO488" s="133"/>
      <c r="HP488" s="133"/>
      <c r="HQ488" s="133"/>
      <c r="HR488" s="133"/>
      <c r="HS488" s="133"/>
      <c r="HT488" s="133"/>
      <c r="HU488" s="133"/>
      <c r="HV488" s="133"/>
      <c r="HW488" s="133"/>
      <c r="HX488" s="133"/>
      <c r="HY488" s="133"/>
      <c r="HZ488" s="133"/>
      <c r="IA488" s="133"/>
      <c r="IB488" s="133"/>
      <c r="IC488" s="133"/>
      <c r="ID488" s="133"/>
      <c r="IE488" s="133"/>
      <c r="IF488" s="133"/>
      <c r="IG488" s="133"/>
      <c r="IH488" s="133"/>
      <c r="II488" s="133"/>
      <c r="IJ488" s="133"/>
      <c r="IK488" s="133"/>
      <c r="IL488" s="133"/>
      <c r="IM488" s="133"/>
      <c r="IN488" s="133"/>
      <c r="IO488" s="133"/>
      <c r="IP488" s="133"/>
      <c r="IQ488" s="133"/>
      <c r="IR488" s="133"/>
      <c r="IS488" s="133"/>
      <c r="IT488" s="133"/>
      <c r="IU488" s="133"/>
      <c r="IV488" s="133"/>
    </row>
    <row r="489" spans="1:256" s="132" customFormat="1" ht="13.8">
      <c r="A489" s="133"/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GE489" s="133"/>
      <c r="GF489" s="133"/>
      <c r="GG489" s="133"/>
      <c r="GH489" s="133"/>
      <c r="GI489" s="133"/>
      <c r="GJ489" s="133"/>
      <c r="GK489" s="133"/>
      <c r="GL489" s="133"/>
      <c r="GM489" s="133"/>
      <c r="GN489" s="133"/>
      <c r="GO489" s="133"/>
      <c r="GP489" s="133"/>
      <c r="GQ489" s="133"/>
      <c r="GR489" s="133"/>
      <c r="GS489" s="133"/>
      <c r="GT489" s="133"/>
      <c r="GU489" s="133"/>
      <c r="GV489" s="133"/>
      <c r="GW489" s="133"/>
      <c r="GX489" s="133"/>
      <c r="GY489" s="133"/>
      <c r="GZ489" s="133"/>
      <c r="HA489" s="133"/>
      <c r="HB489" s="133"/>
      <c r="HC489" s="133"/>
      <c r="HD489" s="133"/>
      <c r="HE489" s="133"/>
      <c r="HF489" s="133"/>
      <c r="HG489" s="133"/>
      <c r="HH489" s="133"/>
      <c r="HI489" s="133"/>
      <c r="HJ489" s="133"/>
      <c r="HK489" s="133"/>
      <c r="HL489" s="133"/>
      <c r="HM489" s="133"/>
      <c r="HN489" s="133"/>
      <c r="HO489" s="133"/>
      <c r="HP489" s="133"/>
      <c r="HQ489" s="133"/>
      <c r="HR489" s="133"/>
      <c r="HS489" s="133"/>
      <c r="HT489" s="133"/>
      <c r="HU489" s="133"/>
      <c r="HV489" s="133"/>
      <c r="HW489" s="133"/>
      <c r="HX489" s="133"/>
      <c r="HY489" s="133"/>
      <c r="HZ489" s="133"/>
      <c r="IA489" s="133"/>
      <c r="IB489" s="133"/>
      <c r="IC489" s="133"/>
      <c r="ID489" s="133"/>
      <c r="IE489" s="133"/>
      <c r="IF489" s="133"/>
      <c r="IG489" s="133"/>
      <c r="IH489" s="133"/>
      <c r="II489" s="133"/>
      <c r="IJ489" s="133"/>
      <c r="IK489" s="133"/>
      <c r="IL489" s="133"/>
      <c r="IM489" s="133"/>
      <c r="IN489" s="133"/>
      <c r="IO489" s="133"/>
      <c r="IP489" s="133"/>
      <c r="IQ489" s="133"/>
      <c r="IR489" s="133"/>
      <c r="IS489" s="133"/>
      <c r="IT489" s="133"/>
      <c r="IU489" s="133"/>
      <c r="IV489" s="133"/>
    </row>
    <row r="490" spans="1:256" s="132" customFormat="1" ht="13.8">
      <c r="A490" s="133"/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GE490" s="133"/>
      <c r="GF490" s="133"/>
      <c r="GG490" s="133"/>
      <c r="GH490" s="133"/>
      <c r="GI490" s="133"/>
      <c r="GJ490" s="133"/>
      <c r="GK490" s="133"/>
      <c r="GL490" s="133"/>
      <c r="GM490" s="133"/>
      <c r="GN490" s="133"/>
      <c r="GO490" s="133"/>
      <c r="GP490" s="133"/>
      <c r="GQ490" s="133"/>
      <c r="GR490" s="133"/>
      <c r="GS490" s="133"/>
      <c r="GT490" s="133"/>
      <c r="GU490" s="133"/>
      <c r="GV490" s="133"/>
      <c r="GW490" s="133"/>
      <c r="GX490" s="133"/>
      <c r="GY490" s="133"/>
      <c r="GZ490" s="133"/>
      <c r="HA490" s="133"/>
      <c r="HB490" s="133"/>
      <c r="HC490" s="133"/>
      <c r="HD490" s="133"/>
      <c r="HE490" s="133"/>
      <c r="HF490" s="133"/>
      <c r="HG490" s="133"/>
      <c r="HH490" s="133"/>
      <c r="HI490" s="133"/>
      <c r="HJ490" s="133"/>
      <c r="HK490" s="133"/>
      <c r="HL490" s="133"/>
      <c r="HM490" s="133"/>
      <c r="HN490" s="133"/>
      <c r="HO490" s="133"/>
      <c r="HP490" s="133"/>
      <c r="HQ490" s="133"/>
      <c r="HR490" s="133"/>
      <c r="HS490" s="133"/>
      <c r="HT490" s="133"/>
      <c r="HU490" s="133"/>
      <c r="HV490" s="133"/>
      <c r="HW490" s="133"/>
      <c r="HX490" s="133"/>
      <c r="HY490" s="133"/>
      <c r="HZ490" s="133"/>
      <c r="IA490" s="133"/>
      <c r="IB490" s="133"/>
      <c r="IC490" s="133"/>
      <c r="ID490" s="133"/>
      <c r="IE490" s="133"/>
      <c r="IF490" s="133"/>
      <c r="IG490" s="133"/>
      <c r="IH490" s="133"/>
      <c r="II490" s="133"/>
      <c r="IJ490" s="133"/>
      <c r="IK490" s="133"/>
      <c r="IL490" s="133"/>
      <c r="IM490" s="133"/>
      <c r="IN490" s="133"/>
      <c r="IO490" s="133"/>
      <c r="IP490" s="133"/>
      <c r="IQ490" s="133"/>
      <c r="IR490" s="133"/>
      <c r="IS490" s="133"/>
      <c r="IT490" s="133"/>
      <c r="IU490" s="133"/>
      <c r="IV490" s="133"/>
    </row>
    <row r="491" spans="1:256" s="132" customFormat="1" ht="13.8">
      <c r="A491" s="133"/>
      <c r="B491" s="133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GE491" s="133"/>
      <c r="GF491" s="133"/>
      <c r="GG491" s="133"/>
      <c r="GH491" s="133"/>
      <c r="GI491" s="133"/>
      <c r="GJ491" s="133"/>
      <c r="GK491" s="133"/>
      <c r="GL491" s="133"/>
      <c r="GM491" s="133"/>
      <c r="GN491" s="133"/>
      <c r="GO491" s="133"/>
      <c r="GP491" s="133"/>
      <c r="GQ491" s="133"/>
      <c r="GR491" s="133"/>
      <c r="GS491" s="133"/>
      <c r="GT491" s="133"/>
      <c r="GU491" s="133"/>
      <c r="GV491" s="133"/>
      <c r="GW491" s="133"/>
      <c r="GX491" s="133"/>
      <c r="GY491" s="133"/>
      <c r="GZ491" s="133"/>
      <c r="HA491" s="133"/>
      <c r="HB491" s="133"/>
      <c r="HC491" s="133"/>
      <c r="HD491" s="133"/>
      <c r="HE491" s="133"/>
      <c r="HF491" s="133"/>
      <c r="HG491" s="133"/>
      <c r="HH491" s="133"/>
      <c r="HI491" s="133"/>
      <c r="HJ491" s="133"/>
      <c r="HK491" s="133"/>
      <c r="HL491" s="133"/>
      <c r="HM491" s="133"/>
      <c r="HN491" s="133"/>
      <c r="HO491" s="133"/>
      <c r="HP491" s="133"/>
      <c r="HQ491" s="133"/>
      <c r="HR491" s="133"/>
      <c r="HS491" s="133"/>
      <c r="HT491" s="133"/>
      <c r="HU491" s="133"/>
      <c r="HV491" s="133"/>
      <c r="HW491" s="133"/>
      <c r="HX491" s="133"/>
      <c r="HY491" s="133"/>
      <c r="HZ491" s="133"/>
      <c r="IA491" s="133"/>
      <c r="IB491" s="133"/>
      <c r="IC491" s="133"/>
      <c r="ID491" s="133"/>
      <c r="IE491" s="133"/>
      <c r="IF491" s="133"/>
      <c r="IG491" s="133"/>
      <c r="IH491" s="133"/>
      <c r="II491" s="133"/>
      <c r="IJ491" s="133"/>
      <c r="IK491" s="133"/>
      <c r="IL491" s="133"/>
      <c r="IM491" s="133"/>
      <c r="IN491" s="133"/>
      <c r="IO491" s="133"/>
      <c r="IP491" s="133"/>
      <c r="IQ491" s="133"/>
      <c r="IR491" s="133"/>
      <c r="IS491" s="133"/>
      <c r="IT491" s="133"/>
      <c r="IU491" s="133"/>
      <c r="IV491" s="133"/>
    </row>
    <row r="492" spans="1:256" s="132" customFormat="1" ht="13.8">
      <c r="A492" s="133"/>
      <c r="B492" s="133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GE492" s="133"/>
      <c r="GF492" s="133"/>
      <c r="GG492" s="133"/>
      <c r="GH492" s="133"/>
      <c r="GI492" s="133"/>
      <c r="GJ492" s="133"/>
      <c r="GK492" s="133"/>
      <c r="GL492" s="133"/>
      <c r="GM492" s="133"/>
      <c r="GN492" s="133"/>
      <c r="GO492" s="133"/>
      <c r="GP492" s="133"/>
      <c r="GQ492" s="133"/>
      <c r="GR492" s="133"/>
      <c r="GS492" s="133"/>
      <c r="GT492" s="133"/>
      <c r="GU492" s="133"/>
      <c r="GV492" s="133"/>
      <c r="GW492" s="133"/>
      <c r="GX492" s="133"/>
      <c r="GY492" s="133"/>
      <c r="GZ492" s="133"/>
      <c r="HA492" s="133"/>
      <c r="HB492" s="133"/>
      <c r="HC492" s="133"/>
      <c r="HD492" s="133"/>
      <c r="HE492" s="133"/>
      <c r="HF492" s="133"/>
      <c r="HG492" s="133"/>
      <c r="HH492" s="133"/>
      <c r="HI492" s="133"/>
      <c r="HJ492" s="133"/>
      <c r="HK492" s="133"/>
      <c r="HL492" s="133"/>
      <c r="HM492" s="133"/>
      <c r="HN492" s="133"/>
      <c r="HO492" s="133"/>
      <c r="HP492" s="133"/>
      <c r="HQ492" s="133"/>
      <c r="HR492" s="133"/>
      <c r="HS492" s="133"/>
      <c r="HT492" s="133"/>
      <c r="HU492" s="133"/>
      <c r="HV492" s="133"/>
      <c r="HW492" s="133"/>
      <c r="HX492" s="133"/>
      <c r="HY492" s="133"/>
      <c r="HZ492" s="133"/>
      <c r="IA492" s="133"/>
      <c r="IB492" s="133"/>
      <c r="IC492" s="133"/>
      <c r="ID492" s="133"/>
      <c r="IE492" s="133"/>
      <c r="IF492" s="133"/>
      <c r="IG492" s="133"/>
      <c r="IH492" s="133"/>
      <c r="II492" s="133"/>
      <c r="IJ492" s="133"/>
      <c r="IK492" s="133"/>
      <c r="IL492" s="133"/>
      <c r="IM492" s="133"/>
      <c r="IN492" s="133"/>
      <c r="IO492" s="133"/>
      <c r="IP492" s="133"/>
      <c r="IQ492" s="133"/>
      <c r="IR492" s="133"/>
      <c r="IS492" s="133"/>
      <c r="IT492" s="133"/>
      <c r="IU492" s="133"/>
      <c r="IV492" s="133"/>
    </row>
    <row r="493" spans="1:256" s="132" customFormat="1" ht="13.8">
      <c r="A493" s="133"/>
      <c r="B493" s="133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GE493" s="133"/>
      <c r="GF493" s="133"/>
      <c r="GG493" s="133"/>
      <c r="GH493" s="133"/>
      <c r="GI493" s="133"/>
      <c r="GJ493" s="133"/>
      <c r="GK493" s="133"/>
      <c r="GL493" s="133"/>
      <c r="GM493" s="133"/>
      <c r="GN493" s="133"/>
      <c r="GO493" s="133"/>
      <c r="GP493" s="133"/>
      <c r="GQ493" s="133"/>
      <c r="GR493" s="133"/>
      <c r="GS493" s="133"/>
      <c r="GT493" s="133"/>
      <c r="GU493" s="133"/>
      <c r="GV493" s="133"/>
      <c r="GW493" s="133"/>
      <c r="GX493" s="133"/>
      <c r="GY493" s="133"/>
      <c r="GZ493" s="133"/>
      <c r="HA493" s="133"/>
      <c r="HB493" s="133"/>
      <c r="HC493" s="133"/>
      <c r="HD493" s="133"/>
      <c r="HE493" s="133"/>
      <c r="HF493" s="133"/>
      <c r="HG493" s="133"/>
      <c r="HH493" s="133"/>
      <c r="HI493" s="133"/>
      <c r="HJ493" s="133"/>
      <c r="HK493" s="133"/>
      <c r="HL493" s="133"/>
      <c r="HM493" s="133"/>
      <c r="HN493" s="133"/>
      <c r="HO493" s="133"/>
      <c r="HP493" s="133"/>
      <c r="HQ493" s="133"/>
      <c r="HR493" s="133"/>
      <c r="HS493" s="133"/>
      <c r="HT493" s="133"/>
      <c r="HU493" s="133"/>
      <c r="HV493" s="133"/>
      <c r="HW493" s="133"/>
      <c r="HX493" s="133"/>
      <c r="HY493" s="133"/>
      <c r="HZ493" s="133"/>
      <c r="IA493" s="133"/>
      <c r="IB493" s="133"/>
      <c r="IC493" s="133"/>
      <c r="ID493" s="133"/>
      <c r="IE493" s="133"/>
      <c r="IF493" s="133"/>
      <c r="IG493" s="133"/>
      <c r="IH493" s="133"/>
      <c r="II493" s="133"/>
      <c r="IJ493" s="133"/>
      <c r="IK493" s="133"/>
      <c r="IL493" s="133"/>
      <c r="IM493" s="133"/>
      <c r="IN493" s="133"/>
      <c r="IO493" s="133"/>
      <c r="IP493" s="133"/>
      <c r="IQ493" s="133"/>
      <c r="IR493" s="133"/>
      <c r="IS493" s="133"/>
      <c r="IT493" s="133"/>
      <c r="IU493" s="133"/>
      <c r="IV493" s="133"/>
    </row>
    <row r="494" spans="1:256" s="132" customFormat="1" ht="13.8">
      <c r="A494" s="133"/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GE494" s="133"/>
      <c r="GF494" s="133"/>
      <c r="GG494" s="133"/>
      <c r="GH494" s="133"/>
      <c r="GI494" s="133"/>
      <c r="GJ494" s="133"/>
      <c r="GK494" s="133"/>
      <c r="GL494" s="133"/>
      <c r="GM494" s="133"/>
      <c r="GN494" s="133"/>
      <c r="GO494" s="133"/>
      <c r="GP494" s="133"/>
      <c r="GQ494" s="133"/>
      <c r="GR494" s="133"/>
      <c r="GS494" s="133"/>
      <c r="GT494" s="133"/>
      <c r="GU494" s="133"/>
      <c r="GV494" s="133"/>
      <c r="GW494" s="133"/>
      <c r="GX494" s="133"/>
      <c r="GY494" s="133"/>
      <c r="GZ494" s="133"/>
      <c r="HA494" s="133"/>
      <c r="HB494" s="133"/>
      <c r="HC494" s="133"/>
      <c r="HD494" s="133"/>
      <c r="HE494" s="133"/>
      <c r="HF494" s="133"/>
      <c r="HG494" s="133"/>
      <c r="HH494" s="133"/>
      <c r="HI494" s="133"/>
      <c r="HJ494" s="133"/>
      <c r="HK494" s="133"/>
      <c r="HL494" s="133"/>
      <c r="HM494" s="133"/>
      <c r="HN494" s="133"/>
      <c r="HO494" s="133"/>
      <c r="HP494" s="133"/>
      <c r="HQ494" s="133"/>
      <c r="HR494" s="133"/>
      <c r="HS494" s="133"/>
      <c r="HT494" s="133"/>
      <c r="HU494" s="133"/>
      <c r="HV494" s="133"/>
      <c r="HW494" s="133"/>
      <c r="HX494" s="133"/>
      <c r="HY494" s="133"/>
      <c r="HZ494" s="133"/>
      <c r="IA494" s="133"/>
      <c r="IB494" s="133"/>
      <c r="IC494" s="133"/>
      <c r="ID494" s="133"/>
      <c r="IE494" s="133"/>
      <c r="IF494" s="133"/>
      <c r="IG494" s="133"/>
      <c r="IH494" s="133"/>
      <c r="II494" s="133"/>
      <c r="IJ494" s="133"/>
      <c r="IK494" s="133"/>
      <c r="IL494" s="133"/>
      <c r="IM494" s="133"/>
      <c r="IN494" s="133"/>
      <c r="IO494" s="133"/>
      <c r="IP494" s="133"/>
      <c r="IQ494" s="133"/>
      <c r="IR494" s="133"/>
      <c r="IS494" s="133"/>
      <c r="IT494" s="133"/>
      <c r="IU494" s="133"/>
      <c r="IV494" s="133"/>
    </row>
    <row r="495" spans="1:256" s="132" customFormat="1" ht="13.8">
      <c r="A495" s="133"/>
      <c r="B495" s="133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GE495" s="133"/>
      <c r="GF495" s="133"/>
      <c r="GG495" s="133"/>
      <c r="GH495" s="133"/>
      <c r="GI495" s="133"/>
      <c r="GJ495" s="133"/>
      <c r="GK495" s="133"/>
      <c r="GL495" s="133"/>
      <c r="GM495" s="133"/>
      <c r="GN495" s="133"/>
      <c r="GO495" s="133"/>
      <c r="GP495" s="133"/>
      <c r="GQ495" s="133"/>
      <c r="GR495" s="133"/>
      <c r="GS495" s="133"/>
      <c r="GT495" s="133"/>
      <c r="GU495" s="133"/>
      <c r="GV495" s="133"/>
      <c r="GW495" s="133"/>
      <c r="GX495" s="133"/>
      <c r="GY495" s="133"/>
      <c r="GZ495" s="133"/>
      <c r="HA495" s="133"/>
      <c r="HB495" s="133"/>
      <c r="HC495" s="133"/>
      <c r="HD495" s="133"/>
      <c r="HE495" s="133"/>
      <c r="HF495" s="133"/>
      <c r="HG495" s="133"/>
      <c r="HH495" s="133"/>
      <c r="HI495" s="133"/>
      <c r="HJ495" s="133"/>
      <c r="HK495" s="133"/>
      <c r="HL495" s="133"/>
      <c r="HM495" s="133"/>
      <c r="HN495" s="133"/>
      <c r="HO495" s="133"/>
      <c r="HP495" s="133"/>
      <c r="HQ495" s="133"/>
      <c r="HR495" s="133"/>
      <c r="HS495" s="133"/>
      <c r="HT495" s="133"/>
      <c r="HU495" s="133"/>
      <c r="HV495" s="133"/>
      <c r="HW495" s="133"/>
      <c r="HX495" s="133"/>
      <c r="HY495" s="133"/>
      <c r="HZ495" s="133"/>
      <c r="IA495" s="133"/>
      <c r="IB495" s="133"/>
      <c r="IC495" s="133"/>
      <c r="ID495" s="133"/>
      <c r="IE495" s="133"/>
      <c r="IF495" s="133"/>
      <c r="IG495" s="133"/>
      <c r="IH495" s="133"/>
      <c r="II495" s="133"/>
      <c r="IJ495" s="133"/>
      <c r="IK495" s="133"/>
      <c r="IL495" s="133"/>
      <c r="IM495" s="133"/>
      <c r="IN495" s="133"/>
      <c r="IO495" s="133"/>
      <c r="IP495" s="133"/>
      <c r="IQ495" s="133"/>
      <c r="IR495" s="133"/>
      <c r="IS495" s="133"/>
      <c r="IT495" s="133"/>
      <c r="IU495" s="133"/>
      <c r="IV495" s="133"/>
    </row>
    <row r="496" spans="1:256" s="132" customFormat="1" ht="13.8">
      <c r="A496" s="133"/>
      <c r="B496" s="133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GE496" s="133"/>
      <c r="GF496" s="133"/>
      <c r="GG496" s="133"/>
      <c r="GH496" s="133"/>
      <c r="GI496" s="133"/>
      <c r="GJ496" s="133"/>
      <c r="GK496" s="133"/>
      <c r="GL496" s="133"/>
      <c r="GM496" s="133"/>
      <c r="GN496" s="133"/>
      <c r="GO496" s="133"/>
      <c r="GP496" s="133"/>
      <c r="GQ496" s="133"/>
      <c r="GR496" s="133"/>
      <c r="GS496" s="133"/>
      <c r="GT496" s="133"/>
      <c r="GU496" s="133"/>
      <c r="GV496" s="133"/>
      <c r="GW496" s="133"/>
      <c r="GX496" s="133"/>
      <c r="GY496" s="133"/>
      <c r="GZ496" s="133"/>
      <c r="HA496" s="133"/>
      <c r="HB496" s="133"/>
      <c r="HC496" s="133"/>
      <c r="HD496" s="133"/>
      <c r="HE496" s="133"/>
      <c r="HF496" s="133"/>
      <c r="HG496" s="133"/>
      <c r="HH496" s="133"/>
      <c r="HI496" s="133"/>
      <c r="HJ496" s="133"/>
      <c r="HK496" s="133"/>
      <c r="HL496" s="133"/>
      <c r="HM496" s="133"/>
      <c r="HN496" s="133"/>
      <c r="HO496" s="133"/>
      <c r="HP496" s="133"/>
      <c r="HQ496" s="133"/>
      <c r="HR496" s="133"/>
      <c r="HS496" s="133"/>
      <c r="HT496" s="133"/>
      <c r="HU496" s="133"/>
      <c r="HV496" s="133"/>
      <c r="HW496" s="133"/>
      <c r="HX496" s="133"/>
      <c r="HY496" s="133"/>
      <c r="HZ496" s="133"/>
      <c r="IA496" s="133"/>
      <c r="IB496" s="133"/>
      <c r="IC496" s="133"/>
      <c r="ID496" s="133"/>
      <c r="IE496" s="133"/>
      <c r="IF496" s="133"/>
      <c r="IG496" s="133"/>
      <c r="IH496" s="133"/>
      <c r="II496" s="133"/>
      <c r="IJ496" s="133"/>
      <c r="IK496" s="133"/>
      <c r="IL496" s="133"/>
      <c r="IM496" s="133"/>
      <c r="IN496" s="133"/>
      <c r="IO496" s="133"/>
      <c r="IP496" s="133"/>
      <c r="IQ496" s="133"/>
      <c r="IR496" s="133"/>
      <c r="IS496" s="133"/>
      <c r="IT496" s="133"/>
      <c r="IU496" s="133"/>
      <c r="IV496" s="133"/>
    </row>
    <row r="497" spans="1:256" s="132" customFormat="1" ht="13.8">
      <c r="A497" s="133"/>
      <c r="B497" s="133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GE497" s="133"/>
      <c r="GF497" s="133"/>
      <c r="GG497" s="133"/>
      <c r="GH497" s="133"/>
      <c r="GI497" s="133"/>
      <c r="GJ497" s="133"/>
      <c r="GK497" s="133"/>
      <c r="GL497" s="133"/>
      <c r="GM497" s="133"/>
      <c r="GN497" s="133"/>
      <c r="GO497" s="133"/>
      <c r="GP497" s="133"/>
      <c r="GQ497" s="133"/>
      <c r="GR497" s="133"/>
      <c r="GS497" s="133"/>
      <c r="GT497" s="133"/>
      <c r="GU497" s="133"/>
      <c r="GV497" s="133"/>
      <c r="GW497" s="133"/>
      <c r="GX497" s="133"/>
      <c r="GY497" s="133"/>
      <c r="GZ497" s="133"/>
      <c r="HA497" s="133"/>
      <c r="HB497" s="133"/>
      <c r="HC497" s="133"/>
      <c r="HD497" s="133"/>
      <c r="HE497" s="133"/>
      <c r="HF497" s="133"/>
      <c r="HG497" s="133"/>
      <c r="HH497" s="133"/>
      <c r="HI497" s="133"/>
      <c r="HJ497" s="133"/>
      <c r="HK497" s="133"/>
      <c r="HL497" s="133"/>
      <c r="HM497" s="133"/>
      <c r="HN497" s="133"/>
      <c r="HO497" s="133"/>
      <c r="HP497" s="133"/>
      <c r="HQ497" s="133"/>
      <c r="HR497" s="133"/>
      <c r="HS497" s="133"/>
      <c r="HT497" s="133"/>
      <c r="HU497" s="133"/>
      <c r="HV497" s="133"/>
      <c r="HW497" s="133"/>
      <c r="HX497" s="133"/>
      <c r="HY497" s="133"/>
      <c r="HZ497" s="133"/>
      <c r="IA497" s="133"/>
      <c r="IB497" s="133"/>
      <c r="IC497" s="133"/>
      <c r="ID497" s="133"/>
      <c r="IE497" s="133"/>
      <c r="IF497" s="133"/>
      <c r="IG497" s="133"/>
      <c r="IH497" s="133"/>
      <c r="II497" s="133"/>
      <c r="IJ497" s="133"/>
      <c r="IK497" s="133"/>
      <c r="IL497" s="133"/>
      <c r="IM497" s="133"/>
      <c r="IN497" s="133"/>
      <c r="IO497" s="133"/>
      <c r="IP497" s="133"/>
      <c r="IQ497" s="133"/>
      <c r="IR497" s="133"/>
      <c r="IS497" s="133"/>
      <c r="IT497" s="133"/>
      <c r="IU497" s="133"/>
      <c r="IV497" s="133"/>
    </row>
    <row r="498" spans="1:256" s="132" customFormat="1" ht="13.8">
      <c r="A498" s="133"/>
      <c r="B498" s="133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GE498" s="133"/>
      <c r="GF498" s="133"/>
      <c r="GG498" s="133"/>
      <c r="GH498" s="133"/>
      <c r="GI498" s="133"/>
      <c r="GJ498" s="133"/>
      <c r="GK498" s="133"/>
      <c r="GL498" s="133"/>
      <c r="GM498" s="133"/>
      <c r="GN498" s="133"/>
      <c r="GO498" s="133"/>
      <c r="GP498" s="133"/>
      <c r="GQ498" s="133"/>
      <c r="GR498" s="133"/>
      <c r="GS498" s="133"/>
      <c r="GT498" s="133"/>
      <c r="GU498" s="133"/>
      <c r="GV498" s="133"/>
      <c r="GW498" s="133"/>
      <c r="GX498" s="133"/>
      <c r="GY498" s="133"/>
      <c r="GZ498" s="133"/>
      <c r="HA498" s="133"/>
      <c r="HB498" s="133"/>
      <c r="HC498" s="133"/>
      <c r="HD498" s="133"/>
      <c r="HE498" s="133"/>
      <c r="HF498" s="133"/>
      <c r="HG498" s="133"/>
      <c r="HH498" s="133"/>
      <c r="HI498" s="133"/>
      <c r="HJ498" s="133"/>
      <c r="HK498" s="133"/>
      <c r="HL498" s="133"/>
      <c r="HM498" s="133"/>
      <c r="HN498" s="133"/>
      <c r="HO498" s="133"/>
      <c r="HP498" s="133"/>
      <c r="HQ498" s="133"/>
      <c r="HR498" s="133"/>
      <c r="HS498" s="133"/>
      <c r="HT498" s="133"/>
      <c r="HU498" s="133"/>
      <c r="HV498" s="133"/>
      <c r="HW498" s="133"/>
      <c r="HX498" s="133"/>
      <c r="HY498" s="133"/>
      <c r="HZ498" s="133"/>
      <c r="IA498" s="133"/>
      <c r="IB498" s="133"/>
      <c r="IC498" s="133"/>
      <c r="ID498" s="133"/>
      <c r="IE498" s="133"/>
      <c r="IF498" s="133"/>
      <c r="IG498" s="133"/>
      <c r="IH498" s="133"/>
      <c r="II498" s="133"/>
      <c r="IJ498" s="133"/>
      <c r="IK498" s="133"/>
      <c r="IL498" s="133"/>
      <c r="IM498" s="133"/>
      <c r="IN498" s="133"/>
      <c r="IO498" s="133"/>
      <c r="IP498" s="133"/>
      <c r="IQ498" s="133"/>
      <c r="IR498" s="133"/>
      <c r="IS498" s="133"/>
      <c r="IT498" s="133"/>
      <c r="IU498" s="133"/>
      <c r="IV498" s="133"/>
    </row>
    <row r="499" spans="1:256" s="132" customFormat="1" ht="13.8">
      <c r="A499" s="133"/>
      <c r="B499" s="133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GE499" s="133"/>
      <c r="GF499" s="133"/>
      <c r="GG499" s="133"/>
      <c r="GH499" s="133"/>
      <c r="GI499" s="133"/>
      <c r="GJ499" s="133"/>
      <c r="GK499" s="133"/>
      <c r="GL499" s="133"/>
      <c r="GM499" s="133"/>
      <c r="GN499" s="133"/>
      <c r="GO499" s="133"/>
      <c r="GP499" s="133"/>
      <c r="GQ499" s="133"/>
      <c r="GR499" s="133"/>
      <c r="GS499" s="133"/>
      <c r="GT499" s="133"/>
      <c r="GU499" s="133"/>
      <c r="GV499" s="133"/>
      <c r="GW499" s="133"/>
      <c r="GX499" s="133"/>
      <c r="GY499" s="133"/>
      <c r="GZ499" s="133"/>
      <c r="HA499" s="133"/>
      <c r="HB499" s="133"/>
      <c r="HC499" s="133"/>
      <c r="HD499" s="133"/>
      <c r="HE499" s="133"/>
      <c r="HF499" s="133"/>
      <c r="HG499" s="133"/>
      <c r="HH499" s="133"/>
      <c r="HI499" s="133"/>
      <c r="HJ499" s="133"/>
      <c r="HK499" s="133"/>
      <c r="HL499" s="133"/>
      <c r="HM499" s="133"/>
      <c r="HN499" s="133"/>
      <c r="HO499" s="133"/>
      <c r="HP499" s="133"/>
      <c r="HQ499" s="133"/>
      <c r="HR499" s="133"/>
      <c r="HS499" s="133"/>
      <c r="HT499" s="133"/>
      <c r="HU499" s="133"/>
      <c r="HV499" s="133"/>
      <c r="HW499" s="133"/>
      <c r="HX499" s="133"/>
      <c r="HY499" s="133"/>
      <c r="HZ499" s="133"/>
      <c r="IA499" s="133"/>
      <c r="IB499" s="133"/>
      <c r="IC499" s="133"/>
      <c r="ID499" s="133"/>
      <c r="IE499" s="133"/>
      <c r="IF499" s="133"/>
      <c r="IG499" s="133"/>
      <c r="IH499" s="133"/>
      <c r="II499" s="133"/>
      <c r="IJ499" s="133"/>
      <c r="IK499" s="133"/>
      <c r="IL499" s="133"/>
      <c r="IM499" s="133"/>
      <c r="IN499" s="133"/>
      <c r="IO499" s="133"/>
      <c r="IP499" s="133"/>
      <c r="IQ499" s="133"/>
      <c r="IR499" s="133"/>
      <c r="IS499" s="133"/>
      <c r="IT499" s="133"/>
      <c r="IU499" s="133"/>
      <c r="IV499" s="133"/>
    </row>
    <row r="500" spans="1:256" s="132" customFormat="1" ht="13.8">
      <c r="A500" s="133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GE500" s="133"/>
      <c r="GF500" s="133"/>
      <c r="GG500" s="133"/>
      <c r="GH500" s="133"/>
      <c r="GI500" s="133"/>
      <c r="GJ500" s="133"/>
      <c r="GK500" s="133"/>
      <c r="GL500" s="133"/>
      <c r="GM500" s="133"/>
      <c r="GN500" s="133"/>
      <c r="GO500" s="133"/>
      <c r="GP500" s="133"/>
      <c r="GQ500" s="133"/>
      <c r="GR500" s="133"/>
      <c r="GS500" s="133"/>
      <c r="GT500" s="133"/>
      <c r="GU500" s="133"/>
      <c r="GV500" s="133"/>
      <c r="GW500" s="133"/>
      <c r="GX500" s="133"/>
      <c r="GY500" s="133"/>
      <c r="GZ500" s="133"/>
      <c r="HA500" s="133"/>
      <c r="HB500" s="133"/>
      <c r="HC500" s="133"/>
      <c r="HD500" s="133"/>
      <c r="HE500" s="133"/>
      <c r="HF500" s="133"/>
      <c r="HG500" s="133"/>
      <c r="HH500" s="133"/>
      <c r="HI500" s="133"/>
      <c r="HJ500" s="133"/>
      <c r="HK500" s="133"/>
      <c r="HL500" s="133"/>
      <c r="HM500" s="133"/>
      <c r="HN500" s="133"/>
      <c r="HO500" s="133"/>
      <c r="HP500" s="133"/>
      <c r="HQ500" s="133"/>
      <c r="HR500" s="133"/>
      <c r="HS500" s="133"/>
      <c r="HT500" s="133"/>
      <c r="HU500" s="133"/>
      <c r="HV500" s="133"/>
      <c r="HW500" s="133"/>
      <c r="HX500" s="133"/>
      <c r="HY500" s="133"/>
      <c r="HZ500" s="133"/>
      <c r="IA500" s="133"/>
      <c r="IB500" s="133"/>
      <c r="IC500" s="133"/>
      <c r="ID500" s="133"/>
      <c r="IE500" s="133"/>
      <c r="IF500" s="133"/>
      <c r="IG500" s="133"/>
      <c r="IH500" s="133"/>
      <c r="II500" s="133"/>
      <c r="IJ500" s="133"/>
      <c r="IK500" s="133"/>
      <c r="IL500" s="133"/>
      <c r="IM500" s="133"/>
      <c r="IN500" s="133"/>
      <c r="IO500" s="133"/>
      <c r="IP500" s="133"/>
      <c r="IQ500" s="133"/>
      <c r="IR500" s="133"/>
      <c r="IS500" s="133"/>
      <c r="IT500" s="133"/>
      <c r="IU500" s="133"/>
      <c r="IV500" s="133"/>
    </row>
    <row r="501" spans="1:256" s="132" customFormat="1" ht="13.8">
      <c r="A501" s="133"/>
      <c r="B501" s="133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GE501" s="133"/>
      <c r="GF501" s="133"/>
      <c r="GG501" s="133"/>
      <c r="GH501" s="133"/>
      <c r="GI501" s="133"/>
      <c r="GJ501" s="133"/>
      <c r="GK501" s="133"/>
      <c r="GL501" s="133"/>
      <c r="GM501" s="133"/>
      <c r="GN501" s="133"/>
      <c r="GO501" s="133"/>
      <c r="GP501" s="133"/>
      <c r="GQ501" s="133"/>
      <c r="GR501" s="133"/>
      <c r="GS501" s="133"/>
      <c r="GT501" s="133"/>
      <c r="GU501" s="133"/>
      <c r="GV501" s="133"/>
      <c r="GW501" s="133"/>
      <c r="GX501" s="133"/>
      <c r="GY501" s="133"/>
      <c r="GZ501" s="133"/>
      <c r="HA501" s="133"/>
      <c r="HB501" s="133"/>
      <c r="HC501" s="133"/>
      <c r="HD501" s="133"/>
      <c r="HE501" s="133"/>
      <c r="HF501" s="133"/>
      <c r="HG501" s="133"/>
      <c r="HH501" s="133"/>
      <c r="HI501" s="133"/>
      <c r="HJ501" s="133"/>
      <c r="HK501" s="133"/>
      <c r="HL501" s="133"/>
      <c r="HM501" s="133"/>
      <c r="HN501" s="133"/>
      <c r="HO501" s="133"/>
      <c r="HP501" s="133"/>
      <c r="HQ501" s="133"/>
      <c r="HR501" s="133"/>
      <c r="HS501" s="133"/>
      <c r="HT501" s="133"/>
      <c r="HU501" s="133"/>
      <c r="HV501" s="133"/>
      <c r="HW501" s="133"/>
      <c r="HX501" s="133"/>
      <c r="HY501" s="133"/>
      <c r="HZ501" s="133"/>
      <c r="IA501" s="133"/>
      <c r="IB501" s="133"/>
      <c r="IC501" s="133"/>
      <c r="ID501" s="133"/>
      <c r="IE501" s="133"/>
      <c r="IF501" s="133"/>
      <c r="IG501" s="133"/>
      <c r="IH501" s="133"/>
      <c r="II501" s="133"/>
      <c r="IJ501" s="133"/>
      <c r="IK501" s="133"/>
      <c r="IL501" s="133"/>
      <c r="IM501" s="133"/>
      <c r="IN501" s="133"/>
      <c r="IO501" s="133"/>
      <c r="IP501" s="133"/>
      <c r="IQ501" s="133"/>
      <c r="IR501" s="133"/>
      <c r="IS501" s="133"/>
      <c r="IT501" s="133"/>
      <c r="IU501" s="133"/>
      <c r="IV501" s="133"/>
    </row>
    <row r="502" spans="1:256" s="132" customFormat="1" ht="13.8">
      <c r="A502" s="133"/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GE502" s="133"/>
      <c r="GF502" s="133"/>
      <c r="GG502" s="133"/>
      <c r="GH502" s="133"/>
      <c r="GI502" s="133"/>
      <c r="GJ502" s="133"/>
      <c r="GK502" s="133"/>
      <c r="GL502" s="133"/>
      <c r="GM502" s="133"/>
      <c r="GN502" s="133"/>
      <c r="GO502" s="133"/>
      <c r="GP502" s="133"/>
      <c r="GQ502" s="133"/>
      <c r="GR502" s="133"/>
      <c r="GS502" s="133"/>
      <c r="GT502" s="133"/>
      <c r="GU502" s="133"/>
      <c r="GV502" s="133"/>
      <c r="GW502" s="133"/>
      <c r="GX502" s="133"/>
      <c r="GY502" s="133"/>
      <c r="GZ502" s="133"/>
      <c r="HA502" s="133"/>
      <c r="HB502" s="133"/>
      <c r="HC502" s="133"/>
      <c r="HD502" s="133"/>
      <c r="HE502" s="133"/>
      <c r="HF502" s="133"/>
      <c r="HG502" s="133"/>
      <c r="HH502" s="133"/>
      <c r="HI502" s="133"/>
      <c r="HJ502" s="133"/>
      <c r="HK502" s="133"/>
      <c r="HL502" s="133"/>
      <c r="HM502" s="133"/>
      <c r="HN502" s="133"/>
      <c r="HO502" s="133"/>
      <c r="HP502" s="133"/>
      <c r="HQ502" s="133"/>
      <c r="HR502" s="133"/>
      <c r="HS502" s="133"/>
      <c r="HT502" s="133"/>
      <c r="HU502" s="133"/>
      <c r="HV502" s="133"/>
      <c r="HW502" s="133"/>
      <c r="HX502" s="133"/>
      <c r="HY502" s="133"/>
      <c r="HZ502" s="133"/>
      <c r="IA502" s="133"/>
      <c r="IB502" s="133"/>
      <c r="IC502" s="133"/>
      <c r="ID502" s="133"/>
      <c r="IE502" s="133"/>
      <c r="IF502" s="133"/>
      <c r="IG502" s="133"/>
      <c r="IH502" s="133"/>
      <c r="II502" s="133"/>
      <c r="IJ502" s="133"/>
      <c r="IK502" s="133"/>
      <c r="IL502" s="133"/>
      <c r="IM502" s="133"/>
      <c r="IN502" s="133"/>
      <c r="IO502" s="133"/>
      <c r="IP502" s="133"/>
      <c r="IQ502" s="133"/>
      <c r="IR502" s="133"/>
      <c r="IS502" s="133"/>
      <c r="IT502" s="133"/>
      <c r="IU502" s="133"/>
      <c r="IV502" s="133"/>
    </row>
    <row r="503" spans="1:256" s="132" customFormat="1" ht="13.8">
      <c r="A503" s="133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GE503" s="133"/>
      <c r="GF503" s="133"/>
      <c r="GG503" s="133"/>
      <c r="GH503" s="133"/>
      <c r="GI503" s="133"/>
      <c r="GJ503" s="133"/>
      <c r="GK503" s="133"/>
      <c r="GL503" s="133"/>
      <c r="GM503" s="133"/>
      <c r="GN503" s="133"/>
      <c r="GO503" s="133"/>
      <c r="GP503" s="133"/>
      <c r="GQ503" s="133"/>
      <c r="GR503" s="133"/>
      <c r="GS503" s="133"/>
      <c r="GT503" s="133"/>
      <c r="GU503" s="133"/>
      <c r="GV503" s="133"/>
      <c r="GW503" s="133"/>
      <c r="GX503" s="133"/>
      <c r="GY503" s="133"/>
      <c r="GZ503" s="133"/>
      <c r="HA503" s="133"/>
      <c r="HB503" s="133"/>
      <c r="HC503" s="133"/>
      <c r="HD503" s="133"/>
      <c r="HE503" s="133"/>
      <c r="HF503" s="133"/>
      <c r="HG503" s="133"/>
      <c r="HH503" s="133"/>
      <c r="HI503" s="133"/>
      <c r="HJ503" s="133"/>
      <c r="HK503" s="133"/>
      <c r="HL503" s="133"/>
      <c r="HM503" s="133"/>
      <c r="HN503" s="133"/>
      <c r="HO503" s="133"/>
      <c r="HP503" s="133"/>
      <c r="HQ503" s="133"/>
      <c r="HR503" s="133"/>
      <c r="HS503" s="133"/>
      <c r="HT503" s="133"/>
      <c r="HU503" s="133"/>
      <c r="HV503" s="133"/>
      <c r="HW503" s="133"/>
      <c r="HX503" s="133"/>
      <c r="HY503" s="133"/>
      <c r="HZ503" s="133"/>
      <c r="IA503" s="133"/>
      <c r="IB503" s="133"/>
      <c r="IC503" s="133"/>
      <c r="ID503" s="133"/>
      <c r="IE503" s="133"/>
      <c r="IF503" s="133"/>
      <c r="IG503" s="133"/>
      <c r="IH503" s="133"/>
      <c r="II503" s="133"/>
      <c r="IJ503" s="133"/>
      <c r="IK503" s="133"/>
      <c r="IL503" s="133"/>
      <c r="IM503" s="133"/>
      <c r="IN503" s="133"/>
      <c r="IO503" s="133"/>
      <c r="IP503" s="133"/>
      <c r="IQ503" s="133"/>
      <c r="IR503" s="133"/>
      <c r="IS503" s="133"/>
      <c r="IT503" s="133"/>
      <c r="IU503" s="133"/>
      <c r="IV503" s="133"/>
    </row>
    <row r="504" spans="1:256" s="132" customFormat="1" ht="13.8">
      <c r="A504" s="133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GE504" s="133"/>
      <c r="GF504" s="133"/>
      <c r="GG504" s="133"/>
      <c r="GH504" s="133"/>
      <c r="GI504" s="133"/>
      <c r="GJ504" s="133"/>
      <c r="GK504" s="133"/>
      <c r="GL504" s="133"/>
      <c r="GM504" s="133"/>
      <c r="GN504" s="133"/>
      <c r="GO504" s="133"/>
      <c r="GP504" s="133"/>
      <c r="GQ504" s="133"/>
      <c r="GR504" s="133"/>
      <c r="GS504" s="133"/>
      <c r="GT504" s="133"/>
      <c r="GU504" s="133"/>
      <c r="GV504" s="133"/>
      <c r="GW504" s="133"/>
      <c r="GX504" s="133"/>
      <c r="GY504" s="133"/>
      <c r="GZ504" s="133"/>
      <c r="HA504" s="133"/>
      <c r="HB504" s="133"/>
      <c r="HC504" s="133"/>
      <c r="HD504" s="133"/>
      <c r="HE504" s="133"/>
      <c r="HF504" s="133"/>
      <c r="HG504" s="133"/>
      <c r="HH504" s="133"/>
      <c r="HI504" s="133"/>
      <c r="HJ504" s="133"/>
      <c r="HK504" s="133"/>
      <c r="HL504" s="133"/>
      <c r="HM504" s="133"/>
      <c r="HN504" s="133"/>
      <c r="HO504" s="133"/>
      <c r="HP504" s="133"/>
      <c r="HQ504" s="133"/>
      <c r="HR504" s="133"/>
      <c r="HS504" s="133"/>
      <c r="HT504" s="133"/>
      <c r="HU504" s="133"/>
      <c r="HV504" s="133"/>
      <c r="HW504" s="133"/>
      <c r="HX504" s="133"/>
      <c r="HY504" s="133"/>
      <c r="HZ504" s="133"/>
      <c r="IA504" s="133"/>
      <c r="IB504" s="133"/>
      <c r="IC504" s="133"/>
      <c r="ID504" s="133"/>
      <c r="IE504" s="133"/>
      <c r="IF504" s="133"/>
      <c r="IG504" s="133"/>
      <c r="IH504" s="133"/>
      <c r="II504" s="133"/>
      <c r="IJ504" s="133"/>
      <c r="IK504" s="133"/>
      <c r="IL504" s="133"/>
      <c r="IM504" s="133"/>
      <c r="IN504" s="133"/>
      <c r="IO504" s="133"/>
      <c r="IP504" s="133"/>
      <c r="IQ504" s="133"/>
      <c r="IR504" s="133"/>
      <c r="IS504" s="133"/>
      <c r="IT504" s="133"/>
      <c r="IU504" s="133"/>
      <c r="IV504" s="133"/>
    </row>
    <row r="505" spans="1:256" s="132" customFormat="1" ht="13.8">
      <c r="A505" s="133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GE505" s="133"/>
      <c r="GF505" s="133"/>
      <c r="GG505" s="133"/>
      <c r="GH505" s="133"/>
      <c r="GI505" s="133"/>
      <c r="GJ505" s="133"/>
      <c r="GK505" s="133"/>
      <c r="GL505" s="133"/>
      <c r="GM505" s="133"/>
      <c r="GN505" s="133"/>
      <c r="GO505" s="133"/>
      <c r="GP505" s="133"/>
      <c r="GQ505" s="133"/>
      <c r="GR505" s="133"/>
      <c r="GS505" s="133"/>
      <c r="GT505" s="133"/>
      <c r="GU505" s="133"/>
      <c r="GV505" s="133"/>
      <c r="GW505" s="133"/>
      <c r="GX505" s="133"/>
      <c r="GY505" s="133"/>
      <c r="GZ505" s="133"/>
      <c r="HA505" s="133"/>
      <c r="HB505" s="133"/>
      <c r="HC505" s="133"/>
      <c r="HD505" s="133"/>
      <c r="HE505" s="133"/>
      <c r="HF505" s="133"/>
      <c r="HG505" s="133"/>
      <c r="HH505" s="133"/>
      <c r="HI505" s="133"/>
      <c r="HJ505" s="133"/>
      <c r="HK505" s="133"/>
      <c r="HL505" s="133"/>
      <c r="HM505" s="133"/>
      <c r="HN505" s="133"/>
      <c r="HO505" s="133"/>
      <c r="HP505" s="133"/>
      <c r="HQ505" s="133"/>
      <c r="HR505" s="133"/>
      <c r="HS505" s="133"/>
      <c r="HT505" s="133"/>
      <c r="HU505" s="133"/>
      <c r="HV505" s="133"/>
      <c r="HW505" s="133"/>
      <c r="HX505" s="133"/>
      <c r="HY505" s="133"/>
      <c r="HZ505" s="133"/>
      <c r="IA505" s="133"/>
      <c r="IB505" s="133"/>
      <c r="IC505" s="133"/>
      <c r="ID505" s="133"/>
      <c r="IE505" s="133"/>
      <c r="IF505" s="133"/>
      <c r="IG505" s="133"/>
      <c r="IH505" s="133"/>
      <c r="II505" s="133"/>
      <c r="IJ505" s="133"/>
      <c r="IK505" s="133"/>
      <c r="IL505" s="133"/>
      <c r="IM505" s="133"/>
      <c r="IN505" s="133"/>
      <c r="IO505" s="133"/>
      <c r="IP505" s="133"/>
      <c r="IQ505" s="133"/>
      <c r="IR505" s="133"/>
      <c r="IS505" s="133"/>
      <c r="IT505" s="133"/>
      <c r="IU505" s="133"/>
      <c r="IV505" s="133"/>
    </row>
    <row r="506" spans="1:256" s="132" customFormat="1" ht="13.8">
      <c r="A506" s="133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GE506" s="133"/>
      <c r="GF506" s="133"/>
      <c r="GG506" s="133"/>
      <c r="GH506" s="133"/>
      <c r="GI506" s="133"/>
      <c r="GJ506" s="133"/>
      <c r="GK506" s="133"/>
      <c r="GL506" s="133"/>
      <c r="GM506" s="133"/>
      <c r="GN506" s="133"/>
      <c r="GO506" s="133"/>
      <c r="GP506" s="133"/>
      <c r="GQ506" s="133"/>
      <c r="GR506" s="133"/>
      <c r="GS506" s="133"/>
      <c r="GT506" s="133"/>
      <c r="GU506" s="133"/>
      <c r="GV506" s="133"/>
      <c r="GW506" s="133"/>
      <c r="GX506" s="133"/>
      <c r="GY506" s="133"/>
      <c r="GZ506" s="133"/>
      <c r="HA506" s="133"/>
      <c r="HB506" s="133"/>
      <c r="HC506" s="133"/>
      <c r="HD506" s="133"/>
      <c r="HE506" s="133"/>
      <c r="HF506" s="133"/>
      <c r="HG506" s="133"/>
      <c r="HH506" s="133"/>
      <c r="HI506" s="133"/>
      <c r="HJ506" s="133"/>
      <c r="HK506" s="133"/>
      <c r="HL506" s="133"/>
      <c r="HM506" s="133"/>
      <c r="HN506" s="133"/>
      <c r="HO506" s="133"/>
      <c r="HP506" s="133"/>
      <c r="HQ506" s="133"/>
      <c r="HR506" s="133"/>
      <c r="HS506" s="133"/>
      <c r="HT506" s="133"/>
      <c r="HU506" s="133"/>
      <c r="HV506" s="133"/>
      <c r="HW506" s="133"/>
      <c r="HX506" s="133"/>
      <c r="HY506" s="133"/>
      <c r="HZ506" s="133"/>
      <c r="IA506" s="133"/>
      <c r="IB506" s="133"/>
      <c r="IC506" s="133"/>
      <c r="ID506" s="133"/>
      <c r="IE506" s="133"/>
      <c r="IF506" s="133"/>
      <c r="IG506" s="133"/>
      <c r="IH506" s="133"/>
      <c r="II506" s="133"/>
      <c r="IJ506" s="133"/>
      <c r="IK506" s="133"/>
      <c r="IL506" s="133"/>
      <c r="IM506" s="133"/>
      <c r="IN506" s="133"/>
      <c r="IO506" s="133"/>
      <c r="IP506" s="133"/>
      <c r="IQ506" s="133"/>
      <c r="IR506" s="133"/>
      <c r="IS506" s="133"/>
      <c r="IT506" s="133"/>
      <c r="IU506" s="133"/>
      <c r="IV506" s="133"/>
    </row>
    <row r="507" spans="1:256" s="132" customFormat="1" ht="13.8">
      <c r="A507" s="133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GE507" s="133"/>
      <c r="GF507" s="133"/>
      <c r="GG507" s="133"/>
      <c r="GH507" s="133"/>
      <c r="GI507" s="133"/>
      <c r="GJ507" s="133"/>
      <c r="GK507" s="133"/>
      <c r="GL507" s="133"/>
      <c r="GM507" s="133"/>
      <c r="GN507" s="133"/>
      <c r="GO507" s="133"/>
      <c r="GP507" s="133"/>
      <c r="GQ507" s="133"/>
      <c r="GR507" s="133"/>
      <c r="GS507" s="133"/>
      <c r="GT507" s="133"/>
      <c r="GU507" s="133"/>
      <c r="GV507" s="133"/>
      <c r="GW507" s="133"/>
      <c r="GX507" s="133"/>
      <c r="GY507" s="133"/>
      <c r="GZ507" s="133"/>
      <c r="HA507" s="133"/>
      <c r="HB507" s="133"/>
      <c r="HC507" s="133"/>
      <c r="HD507" s="133"/>
      <c r="HE507" s="133"/>
      <c r="HF507" s="133"/>
      <c r="HG507" s="133"/>
      <c r="HH507" s="133"/>
      <c r="HI507" s="133"/>
      <c r="HJ507" s="133"/>
      <c r="HK507" s="133"/>
      <c r="HL507" s="133"/>
      <c r="HM507" s="133"/>
      <c r="HN507" s="133"/>
      <c r="HO507" s="133"/>
      <c r="HP507" s="133"/>
      <c r="HQ507" s="133"/>
      <c r="HR507" s="133"/>
      <c r="HS507" s="133"/>
      <c r="HT507" s="133"/>
      <c r="HU507" s="133"/>
      <c r="HV507" s="133"/>
      <c r="HW507" s="133"/>
      <c r="HX507" s="133"/>
      <c r="HY507" s="133"/>
      <c r="HZ507" s="133"/>
      <c r="IA507" s="133"/>
      <c r="IB507" s="133"/>
      <c r="IC507" s="133"/>
      <c r="ID507" s="133"/>
      <c r="IE507" s="133"/>
      <c r="IF507" s="133"/>
      <c r="IG507" s="133"/>
      <c r="IH507" s="133"/>
      <c r="II507" s="133"/>
      <c r="IJ507" s="133"/>
      <c r="IK507" s="133"/>
      <c r="IL507" s="133"/>
      <c r="IM507" s="133"/>
      <c r="IN507" s="133"/>
      <c r="IO507" s="133"/>
      <c r="IP507" s="133"/>
      <c r="IQ507" s="133"/>
      <c r="IR507" s="133"/>
      <c r="IS507" s="133"/>
      <c r="IT507" s="133"/>
      <c r="IU507" s="133"/>
      <c r="IV507" s="133"/>
    </row>
    <row r="508" spans="1:256" s="132" customFormat="1" ht="13.8">
      <c r="A508" s="133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GE508" s="133"/>
      <c r="GF508" s="133"/>
      <c r="GG508" s="133"/>
      <c r="GH508" s="133"/>
      <c r="GI508" s="133"/>
      <c r="GJ508" s="133"/>
      <c r="GK508" s="133"/>
      <c r="GL508" s="133"/>
      <c r="GM508" s="133"/>
      <c r="GN508" s="133"/>
      <c r="GO508" s="133"/>
      <c r="GP508" s="133"/>
      <c r="GQ508" s="133"/>
      <c r="GR508" s="133"/>
      <c r="GS508" s="133"/>
      <c r="GT508" s="133"/>
      <c r="GU508" s="133"/>
      <c r="GV508" s="133"/>
      <c r="GW508" s="133"/>
      <c r="GX508" s="133"/>
      <c r="GY508" s="133"/>
      <c r="GZ508" s="133"/>
      <c r="HA508" s="133"/>
      <c r="HB508" s="133"/>
      <c r="HC508" s="133"/>
      <c r="HD508" s="133"/>
      <c r="HE508" s="133"/>
      <c r="HF508" s="133"/>
      <c r="HG508" s="133"/>
      <c r="HH508" s="133"/>
      <c r="HI508" s="133"/>
      <c r="HJ508" s="133"/>
      <c r="HK508" s="133"/>
      <c r="HL508" s="133"/>
      <c r="HM508" s="133"/>
      <c r="HN508" s="133"/>
      <c r="HO508" s="133"/>
      <c r="HP508" s="133"/>
      <c r="HQ508" s="133"/>
      <c r="HR508" s="133"/>
      <c r="HS508" s="133"/>
      <c r="HT508" s="133"/>
      <c r="HU508" s="133"/>
      <c r="HV508" s="133"/>
      <c r="HW508" s="133"/>
      <c r="HX508" s="133"/>
      <c r="HY508" s="133"/>
      <c r="HZ508" s="133"/>
      <c r="IA508" s="133"/>
      <c r="IB508" s="133"/>
      <c r="IC508" s="133"/>
      <c r="ID508" s="133"/>
      <c r="IE508" s="133"/>
      <c r="IF508" s="133"/>
      <c r="IG508" s="133"/>
      <c r="IH508" s="133"/>
      <c r="II508" s="133"/>
      <c r="IJ508" s="133"/>
      <c r="IK508" s="133"/>
      <c r="IL508" s="133"/>
      <c r="IM508" s="133"/>
      <c r="IN508" s="133"/>
      <c r="IO508" s="133"/>
      <c r="IP508" s="133"/>
      <c r="IQ508" s="133"/>
      <c r="IR508" s="133"/>
      <c r="IS508" s="133"/>
      <c r="IT508" s="133"/>
      <c r="IU508" s="133"/>
      <c r="IV508" s="133"/>
    </row>
    <row r="509" spans="1:256" s="132" customFormat="1" ht="13.8">
      <c r="A509" s="133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GE509" s="133"/>
      <c r="GF509" s="133"/>
      <c r="GG509" s="133"/>
      <c r="GH509" s="133"/>
      <c r="GI509" s="133"/>
      <c r="GJ509" s="133"/>
      <c r="GK509" s="133"/>
      <c r="GL509" s="133"/>
      <c r="GM509" s="133"/>
      <c r="GN509" s="133"/>
      <c r="GO509" s="133"/>
      <c r="GP509" s="133"/>
      <c r="GQ509" s="133"/>
      <c r="GR509" s="133"/>
      <c r="GS509" s="133"/>
      <c r="GT509" s="133"/>
      <c r="GU509" s="133"/>
      <c r="GV509" s="133"/>
      <c r="GW509" s="133"/>
      <c r="GX509" s="133"/>
      <c r="GY509" s="133"/>
      <c r="GZ509" s="133"/>
      <c r="HA509" s="133"/>
      <c r="HB509" s="133"/>
      <c r="HC509" s="133"/>
      <c r="HD509" s="133"/>
      <c r="HE509" s="133"/>
      <c r="HF509" s="133"/>
      <c r="HG509" s="133"/>
      <c r="HH509" s="133"/>
      <c r="HI509" s="133"/>
      <c r="HJ509" s="133"/>
      <c r="HK509" s="133"/>
      <c r="HL509" s="133"/>
      <c r="HM509" s="133"/>
      <c r="HN509" s="133"/>
      <c r="HO509" s="133"/>
      <c r="HP509" s="133"/>
      <c r="HQ509" s="133"/>
      <c r="HR509" s="133"/>
      <c r="HS509" s="133"/>
      <c r="HT509" s="133"/>
      <c r="HU509" s="133"/>
      <c r="HV509" s="133"/>
      <c r="HW509" s="133"/>
      <c r="HX509" s="133"/>
      <c r="HY509" s="133"/>
      <c r="HZ509" s="133"/>
      <c r="IA509" s="133"/>
      <c r="IB509" s="133"/>
      <c r="IC509" s="133"/>
      <c r="ID509" s="133"/>
      <c r="IE509" s="133"/>
      <c r="IF509" s="133"/>
      <c r="IG509" s="133"/>
      <c r="IH509" s="133"/>
      <c r="II509" s="133"/>
      <c r="IJ509" s="133"/>
      <c r="IK509" s="133"/>
      <c r="IL509" s="133"/>
      <c r="IM509" s="133"/>
      <c r="IN509" s="133"/>
      <c r="IO509" s="133"/>
      <c r="IP509" s="133"/>
      <c r="IQ509" s="133"/>
      <c r="IR509" s="133"/>
      <c r="IS509" s="133"/>
      <c r="IT509" s="133"/>
      <c r="IU509" s="133"/>
      <c r="IV509" s="133"/>
    </row>
    <row r="510" spans="1:256" s="132" customFormat="1" ht="13.8">
      <c r="A510" s="133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GE510" s="133"/>
      <c r="GF510" s="133"/>
      <c r="GG510" s="133"/>
      <c r="GH510" s="133"/>
      <c r="GI510" s="133"/>
      <c r="GJ510" s="133"/>
      <c r="GK510" s="133"/>
      <c r="GL510" s="133"/>
      <c r="GM510" s="133"/>
      <c r="GN510" s="133"/>
      <c r="GO510" s="133"/>
      <c r="GP510" s="133"/>
      <c r="GQ510" s="133"/>
      <c r="GR510" s="133"/>
      <c r="GS510" s="133"/>
      <c r="GT510" s="133"/>
      <c r="GU510" s="133"/>
      <c r="GV510" s="133"/>
      <c r="GW510" s="133"/>
      <c r="GX510" s="133"/>
      <c r="GY510" s="133"/>
      <c r="GZ510" s="133"/>
      <c r="HA510" s="133"/>
      <c r="HB510" s="133"/>
      <c r="HC510" s="133"/>
      <c r="HD510" s="133"/>
      <c r="HE510" s="133"/>
      <c r="HF510" s="133"/>
      <c r="HG510" s="133"/>
      <c r="HH510" s="133"/>
      <c r="HI510" s="133"/>
      <c r="HJ510" s="133"/>
      <c r="HK510" s="133"/>
      <c r="HL510" s="133"/>
      <c r="HM510" s="133"/>
      <c r="HN510" s="133"/>
      <c r="HO510" s="133"/>
      <c r="HP510" s="133"/>
      <c r="HQ510" s="133"/>
      <c r="HR510" s="133"/>
      <c r="HS510" s="133"/>
      <c r="HT510" s="133"/>
      <c r="HU510" s="133"/>
      <c r="HV510" s="133"/>
      <c r="HW510" s="133"/>
      <c r="HX510" s="133"/>
      <c r="HY510" s="133"/>
      <c r="HZ510" s="133"/>
      <c r="IA510" s="133"/>
      <c r="IB510" s="133"/>
      <c r="IC510" s="133"/>
      <c r="ID510" s="133"/>
      <c r="IE510" s="133"/>
      <c r="IF510" s="133"/>
      <c r="IG510" s="133"/>
      <c r="IH510" s="133"/>
      <c r="II510" s="133"/>
      <c r="IJ510" s="133"/>
      <c r="IK510" s="133"/>
      <c r="IL510" s="133"/>
      <c r="IM510" s="133"/>
      <c r="IN510" s="133"/>
      <c r="IO510" s="133"/>
      <c r="IP510" s="133"/>
      <c r="IQ510" s="133"/>
      <c r="IR510" s="133"/>
      <c r="IS510" s="133"/>
      <c r="IT510" s="133"/>
      <c r="IU510" s="133"/>
      <c r="IV510" s="133"/>
    </row>
    <row r="511" spans="1:256" s="132" customFormat="1" ht="13.8">
      <c r="A511" s="133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GE511" s="133"/>
      <c r="GF511" s="133"/>
      <c r="GG511" s="133"/>
      <c r="GH511" s="133"/>
      <c r="GI511" s="133"/>
      <c r="GJ511" s="133"/>
      <c r="GK511" s="133"/>
      <c r="GL511" s="133"/>
      <c r="GM511" s="133"/>
      <c r="GN511" s="133"/>
      <c r="GO511" s="133"/>
      <c r="GP511" s="133"/>
      <c r="GQ511" s="133"/>
      <c r="GR511" s="133"/>
      <c r="GS511" s="133"/>
      <c r="GT511" s="133"/>
      <c r="GU511" s="133"/>
      <c r="GV511" s="133"/>
      <c r="GW511" s="133"/>
      <c r="GX511" s="133"/>
      <c r="GY511" s="133"/>
      <c r="GZ511" s="133"/>
      <c r="HA511" s="133"/>
      <c r="HB511" s="133"/>
      <c r="HC511" s="133"/>
      <c r="HD511" s="133"/>
      <c r="HE511" s="133"/>
      <c r="HF511" s="133"/>
      <c r="HG511" s="133"/>
      <c r="HH511" s="133"/>
      <c r="HI511" s="133"/>
      <c r="HJ511" s="133"/>
      <c r="HK511" s="133"/>
      <c r="HL511" s="133"/>
      <c r="HM511" s="133"/>
      <c r="HN511" s="133"/>
      <c r="HO511" s="133"/>
      <c r="HP511" s="133"/>
      <c r="HQ511" s="133"/>
      <c r="HR511" s="133"/>
      <c r="HS511" s="133"/>
      <c r="HT511" s="133"/>
      <c r="HU511" s="133"/>
      <c r="HV511" s="133"/>
      <c r="HW511" s="133"/>
      <c r="HX511" s="133"/>
      <c r="HY511" s="133"/>
      <c r="HZ511" s="133"/>
      <c r="IA511" s="133"/>
      <c r="IB511" s="133"/>
      <c r="IC511" s="133"/>
      <c r="ID511" s="133"/>
      <c r="IE511" s="133"/>
      <c r="IF511" s="133"/>
      <c r="IG511" s="133"/>
      <c r="IH511" s="133"/>
      <c r="II511" s="133"/>
      <c r="IJ511" s="133"/>
      <c r="IK511" s="133"/>
      <c r="IL511" s="133"/>
      <c r="IM511" s="133"/>
      <c r="IN511" s="133"/>
      <c r="IO511" s="133"/>
      <c r="IP511" s="133"/>
      <c r="IQ511" s="133"/>
      <c r="IR511" s="133"/>
      <c r="IS511" s="133"/>
      <c r="IT511" s="133"/>
      <c r="IU511" s="133"/>
      <c r="IV511" s="133"/>
    </row>
    <row r="512" spans="1:256" s="132" customFormat="1" ht="13.8">
      <c r="A512" s="133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GE512" s="133"/>
      <c r="GF512" s="133"/>
      <c r="GG512" s="133"/>
      <c r="GH512" s="133"/>
      <c r="GI512" s="133"/>
      <c r="GJ512" s="133"/>
      <c r="GK512" s="133"/>
      <c r="GL512" s="133"/>
      <c r="GM512" s="133"/>
      <c r="GN512" s="133"/>
      <c r="GO512" s="133"/>
      <c r="GP512" s="133"/>
      <c r="GQ512" s="133"/>
      <c r="GR512" s="133"/>
      <c r="GS512" s="133"/>
      <c r="GT512" s="133"/>
      <c r="GU512" s="133"/>
      <c r="GV512" s="133"/>
      <c r="GW512" s="133"/>
      <c r="GX512" s="133"/>
      <c r="GY512" s="133"/>
      <c r="GZ512" s="133"/>
      <c r="HA512" s="133"/>
      <c r="HB512" s="133"/>
      <c r="HC512" s="133"/>
      <c r="HD512" s="133"/>
      <c r="HE512" s="133"/>
      <c r="HF512" s="133"/>
      <c r="HG512" s="133"/>
      <c r="HH512" s="133"/>
      <c r="HI512" s="133"/>
      <c r="HJ512" s="133"/>
      <c r="HK512" s="133"/>
      <c r="HL512" s="133"/>
      <c r="HM512" s="133"/>
      <c r="HN512" s="133"/>
      <c r="HO512" s="133"/>
      <c r="HP512" s="133"/>
      <c r="HQ512" s="133"/>
      <c r="HR512" s="133"/>
      <c r="HS512" s="133"/>
      <c r="HT512" s="133"/>
      <c r="HU512" s="133"/>
      <c r="HV512" s="133"/>
      <c r="HW512" s="133"/>
      <c r="HX512" s="133"/>
      <c r="HY512" s="133"/>
      <c r="HZ512" s="133"/>
      <c r="IA512" s="133"/>
      <c r="IB512" s="133"/>
      <c r="IC512" s="133"/>
      <c r="ID512" s="133"/>
      <c r="IE512" s="133"/>
      <c r="IF512" s="133"/>
      <c r="IG512" s="133"/>
      <c r="IH512" s="133"/>
      <c r="II512" s="133"/>
      <c r="IJ512" s="133"/>
      <c r="IK512" s="133"/>
      <c r="IL512" s="133"/>
      <c r="IM512" s="133"/>
      <c r="IN512" s="133"/>
      <c r="IO512" s="133"/>
      <c r="IP512" s="133"/>
      <c r="IQ512" s="133"/>
      <c r="IR512" s="133"/>
      <c r="IS512" s="133"/>
      <c r="IT512" s="133"/>
      <c r="IU512" s="133"/>
      <c r="IV512" s="133"/>
    </row>
    <row r="513" spans="1:256" s="132" customFormat="1" ht="13.8">
      <c r="A513" s="133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GE513" s="133"/>
      <c r="GF513" s="133"/>
      <c r="GG513" s="133"/>
      <c r="GH513" s="133"/>
      <c r="GI513" s="133"/>
      <c r="GJ513" s="133"/>
      <c r="GK513" s="133"/>
      <c r="GL513" s="133"/>
      <c r="GM513" s="133"/>
      <c r="GN513" s="133"/>
      <c r="GO513" s="133"/>
      <c r="GP513" s="133"/>
      <c r="GQ513" s="133"/>
      <c r="GR513" s="133"/>
      <c r="GS513" s="133"/>
      <c r="GT513" s="133"/>
      <c r="GU513" s="133"/>
      <c r="GV513" s="133"/>
      <c r="GW513" s="133"/>
      <c r="GX513" s="133"/>
      <c r="GY513" s="133"/>
      <c r="GZ513" s="133"/>
      <c r="HA513" s="133"/>
      <c r="HB513" s="133"/>
      <c r="HC513" s="133"/>
      <c r="HD513" s="133"/>
      <c r="HE513" s="133"/>
      <c r="HF513" s="133"/>
      <c r="HG513" s="133"/>
      <c r="HH513" s="133"/>
      <c r="HI513" s="133"/>
      <c r="HJ513" s="133"/>
      <c r="HK513" s="133"/>
      <c r="HL513" s="133"/>
      <c r="HM513" s="133"/>
      <c r="HN513" s="133"/>
      <c r="HO513" s="133"/>
      <c r="HP513" s="133"/>
      <c r="HQ513" s="133"/>
      <c r="HR513" s="133"/>
      <c r="HS513" s="133"/>
      <c r="HT513" s="133"/>
      <c r="HU513" s="133"/>
      <c r="HV513" s="133"/>
      <c r="HW513" s="133"/>
      <c r="HX513" s="133"/>
      <c r="HY513" s="133"/>
      <c r="HZ513" s="133"/>
      <c r="IA513" s="133"/>
      <c r="IB513" s="133"/>
      <c r="IC513" s="133"/>
      <c r="ID513" s="133"/>
      <c r="IE513" s="133"/>
      <c r="IF513" s="133"/>
      <c r="IG513" s="133"/>
      <c r="IH513" s="133"/>
      <c r="II513" s="133"/>
      <c r="IJ513" s="133"/>
      <c r="IK513" s="133"/>
      <c r="IL513" s="133"/>
      <c r="IM513" s="133"/>
      <c r="IN513" s="133"/>
      <c r="IO513" s="133"/>
      <c r="IP513" s="133"/>
      <c r="IQ513" s="133"/>
      <c r="IR513" s="133"/>
      <c r="IS513" s="133"/>
      <c r="IT513" s="133"/>
      <c r="IU513" s="133"/>
      <c r="IV513" s="133"/>
    </row>
    <row r="514" spans="1:256" s="132" customFormat="1" ht="13.8">
      <c r="A514" s="133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GE514" s="133"/>
      <c r="GF514" s="133"/>
      <c r="GG514" s="133"/>
      <c r="GH514" s="133"/>
      <c r="GI514" s="133"/>
      <c r="GJ514" s="133"/>
      <c r="GK514" s="133"/>
      <c r="GL514" s="133"/>
      <c r="GM514" s="133"/>
      <c r="GN514" s="133"/>
      <c r="GO514" s="133"/>
      <c r="GP514" s="133"/>
      <c r="GQ514" s="133"/>
      <c r="GR514" s="133"/>
      <c r="GS514" s="133"/>
      <c r="GT514" s="133"/>
      <c r="GU514" s="133"/>
      <c r="GV514" s="133"/>
      <c r="GW514" s="133"/>
      <c r="GX514" s="133"/>
      <c r="GY514" s="133"/>
      <c r="GZ514" s="133"/>
      <c r="HA514" s="133"/>
      <c r="HB514" s="133"/>
      <c r="HC514" s="133"/>
      <c r="HD514" s="133"/>
      <c r="HE514" s="133"/>
      <c r="HF514" s="133"/>
      <c r="HG514" s="133"/>
      <c r="HH514" s="133"/>
      <c r="HI514" s="133"/>
      <c r="HJ514" s="133"/>
      <c r="HK514" s="133"/>
      <c r="HL514" s="133"/>
      <c r="HM514" s="133"/>
      <c r="HN514" s="133"/>
      <c r="HO514" s="133"/>
      <c r="HP514" s="133"/>
      <c r="HQ514" s="133"/>
      <c r="HR514" s="133"/>
      <c r="HS514" s="133"/>
      <c r="HT514" s="133"/>
      <c r="HU514" s="133"/>
      <c r="HV514" s="133"/>
      <c r="HW514" s="133"/>
      <c r="HX514" s="133"/>
      <c r="HY514" s="133"/>
      <c r="HZ514" s="133"/>
      <c r="IA514" s="133"/>
      <c r="IB514" s="133"/>
      <c r="IC514" s="133"/>
      <c r="ID514" s="133"/>
      <c r="IE514" s="133"/>
      <c r="IF514" s="133"/>
      <c r="IG514" s="133"/>
      <c r="IH514" s="133"/>
      <c r="II514" s="133"/>
      <c r="IJ514" s="133"/>
      <c r="IK514" s="133"/>
      <c r="IL514" s="133"/>
      <c r="IM514" s="133"/>
      <c r="IN514" s="133"/>
      <c r="IO514" s="133"/>
      <c r="IP514" s="133"/>
      <c r="IQ514" s="133"/>
      <c r="IR514" s="133"/>
      <c r="IS514" s="133"/>
      <c r="IT514" s="133"/>
      <c r="IU514" s="133"/>
      <c r="IV514" s="133"/>
    </row>
    <row r="515" spans="1:256" s="132" customFormat="1" ht="13.8">
      <c r="A515" s="133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GE515" s="133"/>
      <c r="GF515" s="133"/>
      <c r="GG515" s="133"/>
      <c r="GH515" s="133"/>
      <c r="GI515" s="133"/>
      <c r="GJ515" s="133"/>
      <c r="GK515" s="133"/>
      <c r="GL515" s="133"/>
      <c r="GM515" s="133"/>
      <c r="GN515" s="133"/>
      <c r="GO515" s="133"/>
      <c r="GP515" s="133"/>
      <c r="GQ515" s="133"/>
      <c r="GR515" s="133"/>
      <c r="GS515" s="133"/>
      <c r="GT515" s="133"/>
      <c r="GU515" s="133"/>
      <c r="GV515" s="133"/>
      <c r="GW515" s="133"/>
      <c r="GX515" s="133"/>
      <c r="GY515" s="133"/>
      <c r="GZ515" s="133"/>
      <c r="HA515" s="133"/>
      <c r="HB515" s="133"/>
      <c r="HC515" s="133"/>
      <c r="HD515" s="133"/>
      <c r="HE515" s="133"/>
      <c r="HF515" s="133"/>
      <c r="HG515" s="133"/>
      <c r="HH515" s="133"/>
      <c r="HI515" s="133"/>
      <c r="HJ515" s="133"/>
      <c r="HK515" s="133"/>
      <c r="HL515" s="133"/>
      <c r="HM515" s="133"/>
      <c r="HN515" s="133"/>
      <c r="HO515" s="133"/>
      <c r="HP515" s="133"/>
      <c r="HQ515" s="133"/>
      <c r="HR515" s="133"/>
      <c r="HS515" s="133"/>
      <c r="HT515" s="133"/>
      <c r="HU515" s="133"/>
      <c r="HV515" s="133"/>
      <c r="HW515" s="133"/>
      <c r="HX515" s="133"/>
      <c r="HY515" s="133"/>
      <c r="HZ515" s="133"/>
      <c r="IA515" s="133"/>
      <c r="IB515" s="133"/>
      <c r="IC515" s="133"/>
      <c r="ID515" s="133"/>
      <c r="IE515" s="133"/>
      <c r="IF515" s="133"/>
      <c r="IG515" s="133"/>
      <c r="IH515" s="133"/>
      <c r="II515" s="133"/>
      <c r="IJ515" s="133"/>
      <c r="IK515" s="133"/>
      <c r="IL515" s="133"/>
      <c r="IM515" s="133"/>
      <c r="IN515" s="133"/>
      <c r="IO515" s="133"/>
      <c r="IP515" s="133"/>
      <c r="IQ515" s="133"/>
      <c r="IR515" s="133"/>
      <c r="IS515" s="133"/>
      <c r="IT515" s="133"/>
      <c r="IU515" s="133"/>
      <c r="IV515" s="133"/>
    </row>
    <row r="516" spans="1:256" s="132" customFormat="1" ht="13.8">
      <c r="A516" s="133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GE516" s="133"/>
      <c r="GF516" s="133"/>
      <c r="GG516" s="133"/>
      <c r="GH516" s="133"/>
      <c r="GI516" s="133"/>
      <c r="GJ516" s="133"/>
      <c r="GK516" s="133"/>
      <c r="GL516" s="133"/>
      <c r="GM516" s="133"/>
      <c r="GN516" s="133"/>
      <c r="GO516" s="133"/>
      <c r="GP516" s="133"/>
      <c r="GQ516" s="133"/>
      <c r="GR516" s="133"/>
      <c r="GS516" s="133"/>
      <c r="GT516" s="133"/>
      <c r="GU516" s="133"/>
      <c r="GV516" s="133"/>
      <c r="GW516" s="133"/>
      <c r="GX516" s="133"/>
      <c r="GY516" s="133"/>
      <c r="GZ516" s="133"/>
      <c r="HA516" s="133"/>
      <c r="HB516" s="133"/>
      <c r="HC516" s="133"/>
      <c r="HD516" s="133"/>
      <c r="HE516" s="133"/>
      <c r="HF516" s="133"/>
      <c r="HG516" s="133"/>
      <c r="HH516" s="133"/>
      <c r="HI516" s="133"/>
      <c r="HJ516" s="133"/>
      <c r="HK516" s="133"/>
      <c r="HL516" s="133"/>
      <c r="HM516" s="133"/>
      <c r="HN516" s="133"/>
      <c r="HO516" s="133"/>
      <c r="HP516" s="133"/>
      <c r="HQ516" s="133"/>
      <c r="HR516" s="133"/>
      <c r="HS516" s="133"/>
      <c r="HT516" s="133"/>
      <c r="HU516" s="133"/>
      <c r="HV516" s="133"/>
      <c r="HW516" s="133"/>
      <c r="HX516" s="133"/>
      <c r="HY516" s="133"/>
      <c r="HZ516" s="133"/>
      <c r="IA516" s="133"/>
      <c r="IB516" s="133"/>
      <c r="IC516" s="133"/>
      <c r="ID516" s="133"/>
      <c r="IE516" s="133"/>
      <c r="IF516" s="133"/>
      <c r="IG516" s="133"/>
      <c r="IH516" s="133"/>
      <c r="II516" s="133"/>
      <c r="IJ516" s="133"/>
      <c r="IK516" s="133"/>
      <c r="IL516" s="133"/>
      <c r="IM516" s="133"/>
      <c r="IN516" s="133"/>
      <c r="IO516" s="133"/>
      <c r="IP516" s="133"/>
      <c r="IQ516" s="133"/>
      <c r="IR516" s="133"/>
      <c r="IS516" s="133"/>
      <c r="IT516" s="133"/>
      <c r="IU516" s="133"/>
      <c r="IV516" s="133"/>
    </row>
    <row r="517" spans="1:256" s="132" customFormat="1" ht="13.8">
      <c r="A517" s="133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GE517" s="133"/>
      <c r="GF517" s="133"/>
      <c r="GG517" s="133"/>
      <c r="GH517" s="133"/>
      <c r="GI517" s="133"/>
      <c r="GJ517" s="133"/>
      <c r="GK517" s="133"/>
      <c r="GL517" s="133"/>
      <c r="GM517" s="133"/>
      <c r="GN517" s="133"/>
      <c r="GO517" s="133"/>
      <c r="GP517" s="133"/>
      <c r="GQ517" s="133"/>
      <c r="GR517" s="133"/>
      <c r="GS517" s="133"/>
      <c r="GT517" s="133"/>
      <c r="GU517" s="133"/>
      <c r="GV517" s="133"/>
      <c r="GW517" s="133"/>
      <c r="GX517" s="133"/>
      <c r="GY517" s="133"/>
      <c r="GZ517" s="133"/>
      <c r="HA517" s="133"/>
      <c r="HB517" s="133"/>
      <c r="HC517" s="133"/>
      <c r="HD517" s="133"/>
      <c r="HE517" s="133"/>
      <c r="HF517" s="133"/>
      <c r="HG517" s="133"/>
      <c r="HH517" s="133"/>
      <c r="HI517" s="133"/>
      <c r="HJ517" s="133"/>
      <c r="HK517" s="133"/>
      <c r="HL517" s="133"/>
      <c r="HM517" s="133"/>
      <c r="HN517" s="133"/>
      <c r="HO517" s="133"/>
      <c r="HP517" s="133"/>
      <c r="HQ517" s="133"/>
      <c r="HR517" s="133"/>
      <c r="HS517" s="133"/>
      <c r="HT517" s="133"/>
      <c r="HU517" s="133"/>
      <c r="HV517" s="133"/>
      <c r="HW517" s="133"/>
      <c r="HX517" s="133"/>
      <c r="HY517" s="133"/>
      <c r="HZ517" s="133"/>
      <c r="IA517" s="133"/>
      <c r="IB517" s="133"/>
      <c r="IC517" s="133"/>
      <c r="ID517" s="133"/>
      <c r="IE517" s="133"/>
      <c r="IF517" s="133"/>
      <c r="IG517" s="133"/>
      <c r="IH517" s="133"/>
      <c r="II517" s="133"/>
      <c r="IJ517" s="133"/>
      <c r="IK517" s="133"/>
      <c r="IL517" s="133"/>
      <c r="IM517" s="133"/>
      <c r="IN517" s="133"/>
      <c r="IO517" s="133"/>
      <c r="IP517" s="133"/>
      <c r="IQ517" s="133"/>
      <c r="IR517" s="133"/>
      <c r="IS517" s="133"/>
      <c r="IT517" s="133"/>
      <c r="IU517" s="133"/>
      <c r="IV517" s="133"/>
    </row>
    <row r="518" spans="1:256" s="132" customFormat="1" ht="13.8">
      <c r="A518" s="133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GE518" s="133"/>
      <c r="GF518" s="133"/>
      <c r="GG518" s="133"/>
      <c r="GH518" s="133"/>
      <c r="GI518" s="133"/>
      <c r="GJ518" s="133"/>
      <c r="GK518" s="133"/>
      <c r="GL518" s="133"/>
      <c r="GM518" s="133"/>
      <c r="GN518" s="133"/>
      <c r="GO518" s="133"/>
      <c r="GP518" s="133"/>
      <c r="GQ518" s="133"/>
      <c r="GR518" s="133"/>
      <c r="GS518" s="133"/>
      <c r="GT518" s="133"/>
      <c r="GU518" s="133"/>
      <c r="GV518" s="133"/>
      <c r="GW518" s="133"/>
      <c r="GX518" s="133"/>
      <c r="GY518" s="133"/>
      <c r="GZ518" s="133"/>
      <c r="HA518" s="133"/>
      <c r="HB518" s="133"/>
      <c r="HC518" s="133"/>
      <c r="HD518" s="133"/>
      <c r="HE518" s="133"/>
      <c r="HF518" s="133"/>
      <c r="HG518" s="133"/>
      <c r="HH518" s="133"/>
      <c r="HI518" s="133"/>
      <c r="HJ518" s="133"/>
      <c r="HK518" s="133"/>
      <c r="HL518" s="133"/>
      <c r="HM518" s="133"/>
      <c r="HN518" s="133"/>
      <c r="HO518" s="133"/>
      <c r="HP518" s="133"/>
      <c r="HQ518" s="133"/>
      <c r="HR518" s="133"/>
      <c r="HS518" s="133"/>
      <c r="HT518" s="133"/>
      <c r="HU518" s="133"/>
      <c r="HV518" s="133"/>
      <c r="HW518" s="133"/>
      <c r="HX518" s="133"/>
      <c r="HY518" s="133"/>
      <c r="HZ518" s="133"/>
      <c r="IA518" s="133"/>
      <c r="IB518" s="133"/>
      <c r="IC518" s="133"/>
      <c r="ID518" s="133"/>
      <c r="IE518" s="133"/>
      <c r="IF518" s="133"/>
      <c r="IG518" s="133"/>
      <c r="IH518" s="133"/>
      <c r="II518" s="133"/>
      <c r="IJ518" s="133"/>
      <c r="IK518" s="133"/>
      <c r="IL518" s="133"/>
      <c r="IM518" s="133"/>
      <c r="IN518" s="133"/>
      <c r="IO518" s="133"/>
      <c r="IP518" s="133"/>
      <c r="IQ518" s="133"/>
      <c r="IR518" s="133"/>
      <c r="IS518" s="133"/>
      <c r="IT518" s="133"/>
      <c r="IU518" s="133"/>
      <c r="IV518" s="133"/>
    </row>
    <row r="519" spans="1:256" s="132" customFormat="1" ht="13.8">
      <c r="A519" s="133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GE519" s="133"/>
      <c r="GF519" s="133"/>
      <c r="GG519" s="133"/>
      <c r="GH519" s="133"/>
      <c r="GI519" s="133"/>
      <c r="GJ519" s="133"/>
      <c r="GK519" s="133"/>
      <c r="GL519" s="133"/>
      <c r="GM519" s="133"/>
      <c r="GN519" s="133"/>
      <c r="GO519" s="133"/>
      <c r="GP519" s="133"/>
      <c r="GQ519" s="133"/>
      <c r="GR519" s="133"/>
      <c r="GS519" s="133"/>
      <c r="GT519" s="133"/>
      <c r="GU519" s="133"/>
      <c r="GV519" s="133"/>
      <c r="GW519" s="133"/>
      <c r="GX519" s="133"/>
      <c r="GY519" s="133"/>
      <c r="GZ519" s="133"/>
      <c r="HA519" s="133"/>
      <c r="HB519" s="133"/>
      <c r="HC519" s="133"/>
      <c r="HD519" s="133"/>
      <c r="HE519" s="133"/>
      <c r="HF519" s="133"/>
      <c r="HG519" s="133"/>
      <c r="HH519" s="133"/>
      <c r="HI519" s="133"/>
      <c r="HJ519" s="133"/>
      <c r="HK519" s="133"/>
      <c r="HL519" s="133"/>
      <c r="HM519" s="133"/>
      <c r="HN519" s="133"/>
      <c r="HO519" s="133"/>
      <c r="HP519" s="133"/>
      <c r="HQ519" s="133"/>
      <c r="HR519" s="133"/>
      <c r="HS519" s="133"/>
      <c r="HT519" s="133"/>
      <c r="HU519" s="133"/>
      <c r="HV519" s="133"/>
      <c r="HW519" s="133"/>
      <c r="HX519" s="133"/>
      <c r="HY519" s="133"/>
      <c r="HZ519" s="133"/>
      <c r="IA519" s="133"/>
      <c r="IB519" s="133"/>
      <c r="IC519" s="133"/>
      <c r="ID519" s="133"/>
      <c r="IE519" s="133"/>
      <c r="IF519" s="133"/>
      <c r="IG519" s="133"/>
      <c r="IH519" s="133"/>
      <c r="II519" s="133"/>
      <c r="IJ519" s="133"/>
      <c r="IK519" s="133"/>
      <c r="IL519" s="133"/>
      <c r="IM519" s="133"/>
      <c r="IN519" s="133"/>
      <c r="IO519" s="133"/>
      <c r="IP519" s="133"/>
      <c r="IQ519" s="133"/>
      <c r="IR519" s="133"/>
      <c r="IS519" s="133"/>
      <c r="IT519" s="133"/>
      <c r="IU519" s="133"/>
      <c r="IV519" s="133"/>
    </row>
    <row r="520" spans="1:256" s="132" customFormat="1" ht="13.8">
      <c r="A520" s="133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GE520" s="133"/>
      <c r="GF520" s="133"/>
      <c r="GG520" s="133"/>
      <c r="GH520" s="133"/>
      <c r="GI520" s="133"/>
      <c r="GJ520" s="133"/>
      <c r="GK520" s="133"/>
      <c r="GL520" s="133"/>
      <c r="GM520" s="133"/>
      <c r="GN520" s="133"/>
      <c r="GO520" s="133"/>
      <c r="GP520" s="133"/>
      <c r="GQ520" s="133"/>
      <c r="GR520" s="133"/>
      <c r="GS520" s="133"/>
      <c r="GT520" s="133"/>
      <c r="GU520" s="133"/>
      <c r="GV520" s="133"/>
      <c r="GW520" s="133"/>
      <c r="GX520" s="133"/>
      <c r="GY520" s="133"/>
      <c r="GZ520" s="133"/>
      <c r="HA520" s="133"/>
      <c r="HB520" s="133"/>
      <c r="HC520" s="133"/>
      <c r="HD520" s="133"/>
      <c r="HE520" s="133"/>
      <c r="HF520" s="133"/>
      <c r="HG520" s="133"/>
      <c r="HH520" s="133"/>
      <c r="HI520" s="133"/>
      <c r="HJ520" s="133"/>
      <c r="HK520" s="133"/>
      <c r="HL520" s="133"/>
      <c r="HM520" s="133"/>
      <c r="HN520" s="133"/>
      <c r="HO520" s="133"/>
      <c r="HP520" s="133"/>
      <c r="HQ520" s="133"/>
      <c r="HR520" s="133"/>
      <c r="HS520" s="133"/>
      <c r="HT520" s="133"/>
      <c r="HU520" s="133"/>
      <c r="HV520" s="133"/>
      <c r="HW520" s="133"/>
      <c r="HX520" s="133"/>
      <c r="HY520" s="133"/>
      <c r="HZ520" s="133"/>
      <c r="IA520" s="133"/>
      <c r="IB520" s="133"/>
      <c r="IC520" s="133"/>
      <c r="ID520" s="133"/>
      <c r="IE520" s="133"/>
      <c r="IF520" s="133"/>
      <c r="IG520" s="133"/>
      <c r="IH520" s="133"/>
      <c r="II520" s="133"/>
      <c r="IJ520" s="133"/>
      <c r="IK520" s="133"/>
      <c r="IL520" s="133"/>
      <c r="IM520" s="133"/>
      <c r="IN520" s="133"/>
      <c r="IO520" s="133"/>
      <c r="IP520" s="133"/>
      <c r="IQ520" s="133"/>
      <c r="IR520" s="133"/>
      <c r="IS520" s="133"/>
      <c r="IT520" s="133"/>
      <c r="IU520" s="133"/>
      <c r="IV520" s="133"/>
    </row>
    <row r="521" spans="1:256" s="132" customFormat="1" ht="13.8">
      <c r="A521" s="133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GE521" s="133"/>
      <c r="GF521" s="133"/>
      <c r="GG521" s="133"/>
      <c r="GH521" s="133"/>
      <c r="GI521" s="133"/>
      <c r="GJ521" s="133"/>
      <c r="GK521" s="133"/>
      <c r="GL521" s="133"/>
      <c r="GM521" s="133"/>
      <c r="GN521" s="133"/>
      <c r="GO521" s="133"/>
      <c r="GP521" s="133"/>
      <c r="GQ521" s="133"/>
      <c r="GR521" s="133"/>
      <c r="GS521" s="133"/>
      <c r="GT521" s="133"/>
      <c r="GU521" s="133"/>
      <c r="GV521" s="133"/>
      <c r="GW521" s="133"/>
      <c r="GX521" s="133"/>
      <c r="GY521" s="133"/>
      <c r="GZ521" s="133"/>
      <c r="HA521" s="133"/>
      <c r="HB521" s="133"/>
      <c r="HC521" s="133"/>
      <c r="HD521" s="133"/>
      <c r="HE521" s="133"/>
      <c r="HF521" s="133"/>
      <c r="HG521" s="133"/>
      <c r="HH521" s="133"/>
      <c r="HI521" s="133"/>
      <c r="HJ521" s="133"/>
      <c r="HK521" s="133"/>
      <c r="HL521" s="133"/>
      <c r="HM521" s="133"/>
      <c r="HN521" s="133"/>
      <c r="HO521" s="133"/>
      <c r="HP521" s="133"/>
      <c r="HQ521" s="133"/>
      <c r="HR521" s="133"/>
      <c r="HS521" s="133"/>
      <c r="HT521" s="133"/>
      <c r="HU521" s="133"/>
      <c r="HV521" s="133"/>
      <c r="HW521" s="133"/>
      <c r="HX521" s="133"/>
      <c r="HY521" s="133"/>
      <c r="HZ521" s="133"/>
      <c r="IA521" s="133"/>
      <c r="IB521" s="133"/>
      <c r="IC521" s="133"/>
      <c r="ID521" s="133"/>
      <c r="IE521" s="133"/>
      <c r="IF521" s="133"/>
      <c r="IG521" s="133"/>
      <c r="IH521" s="133"/>
      <c r="II521" s="133"/>
      <c r="IJ521" s="133"/>
      <c r="IK521" s="133"/>
      <c r="IL521" s="133"/>
      <c r="IM521" s="133"/>
      <c r="IN521" s="133"/>
      <c r="IO521" s="133"/>
      <c r="IP521" s="133"/>
      <c r="IQ521" s="133"/>
      <c r="IR521" s="133"/>
      <c r="IS521" s="133"/>
      <c r="IT521" s="133"/>
      <c r="IU521" s="133"/>
      <c r="IV521" s="133"/>
    </row>
    <row r="522" spans="1:256" s="132" customFormat="1" ht="13.8">
      <c r="A522" s="133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GE522" s="133"/>
      <c r="GF522" s="133"/>
      <c r="GG522" s="133"/>
      <c r="GH522" s="133"/>
      <c r="GI522" s="133"/>
      <c r="GJ522" s="133"/>
      <c r="GK522" s="133"/>
      <c r="GL522" s="133"/>
      <c r="GM522" s="133"/>
      <c r="GN522" s="133"/>
      <c r="GO522" s="133"/>
      <c r="GP522" s="133"/>
      <c r="GQ522" s="133"/>
      <c r="GR522" s="133"/>
      <c r="GS522" s="133"/>
      <c r="GT522" s="133"/>
      <c r="GU522" s="133"/>
      <c r="GV522" s="133"/>
      <c r="GW522" s="133"/>
      <c r="GX522" s="133"/>
      <c r="GY522" s="133"/>
      <c r="GZ522" s="133"/>
      <c r="HA522" s="133"/>
      <c r="HB522" s="133"/>
      <c r="HC522" s="133"/>
      <c r="HD522" s="133"/>
      <c r="HE522" s="133"/>
      <c r="HF522" s="133"/>
      <c r="HG522" s="133"/>
      <c r="HH522" s="133"/>
      <c r="HI522" s="133"/>
      <c r="HJ522" s="133"/>
      <c r="HK522" s="133"/>
      <c r="HL522" s="133"/>
      <c r="HM522" s="133"/>
      <c r="HN522" s="133"/>
      <c r="HO522" s="133"/>
      <c r="HP522" s="133"/>
      <c r="HQ522" s="133"/>
      <c r="HR522" s="133"/>
      <c r="HS522" s="133"/>
      <c r="HT522" s="133"/>
      <c r="HU522" s="133"/>
      <c r="HV522" s="133"/>
      <c r="HW522" s="133"/>
      <c r="HX522" s="133"/>
      <c r="HY522" s="133"/>
      <c r="HZ522" s="133"/>
      <c r="IA522" s="133"/>
      <c r="IB522" s="133"/>
      <c r="IC522" s="133"/>
      <c r="ID522" s="133"/>
      <c r="IE522" s="133"/>
      <c r="IF522" s="133"/>
      <c r="IG522" s="133"/>
      <c r="IH522" s="133"/>
      <c r="II522" s="133"/>
      <c r="IJ522" s="133"/>
      <c r="IK522" s="133"/>
      <c r="IL522" s="133"/>
      <c r="IM522" s="133"/>
      <c r="IN522" s="133"/>
      <c r="IO522" s="133"/>
      <c r="IP522" s="133"/>
      <c r="IQ522" s="133"/>
      <c r="IR522" s="133"/>
      <c r="IS522" s="133"/>
      <c r="IT522" s="133"/>
      <c r="IU522" s="133"/>
      <c r="IV522" s="133"/>
    </row>
    <row r="523" spans="1:256" s="132" customFormat="1" ht="13.8">
      <c r="A523" s="133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GE523" s="133"/>
      <c r="GF523" s="133"/>
      <c r="GG523" s="133"/>
      <c r="GH523" s="133"/>
      <c r="GI523" s="133"/>
      <c r="GJ523" s="133"/>
      <c r="GK523" s="133"/>
      <c r="GL523" s="133"/>
      <c r="GM523" s="133"/>
      <c r="GN523" s="133"/>
      <c r="GO523" s="133"/>
      <c r="GP523" s="133"/>
      <c r="GQ523" s="133"/>
      <c r="GR523" s="133"/>
      <c r="GS523" s="133"/>
      <c r="GT523" s="133"/>
      <c r="GU523" s="133"/>
      <c r="GV523" s="133"/>
      <c r="GW523" s="133"/>
      <c r="GX523" s="133"/>
      <c r="GY523" s="133"/>
      <c r="GZ523" s="133"/>
      <c r="HA523" s="133"/>
      <c r="HB523" s="133"/>
      <c r="HC523" s="133"/>
      <c r="HD523" s="133"/>
      <c r="HE523" s="133"/>
      <c r="HF523" s="133"/>
      <c r="HG523" s="133"/>
      <c r="HH523" s="133"/>
      <c r="HI523" s="133"/>
      <c r="HJ523" s="133"/>
      <c r="HK523" s="133"/>
      <c r="HL523" s="133"/>
      <c r="HM523" s="133"/>
      <c r="HN523" s="133"/>
      <c r="HO523" s="133"/>
      <c r="HP523" s="133"/>
      <c r="HQ523" s="133"/>
      <c r="HR523" s="133"/>
      <c r="HS523" s="133"/>
      <c r="HT523" s="133"/>
      <c r="HU523" s="133"/>
      <c r="HV523" s="133"/>
      <c r="HW523" s="133"/>
      <c r="HX523" s="133"/>
      <c r="HY523" s="133"/>
      <c r="HZ523" s="133"/>
      <c r="IA523" s="133"/>
      <c r="IB523" s="133"/>
      <c r="IC523" s="133"/>
      <c r="ID523" s="133"/>
      <c r="IE523" s="133"/>
      <c r="IF523" s="133"/>
      <c r="IG523" s="133"/>
      <c r="IH523" s="133"/>
      <c r="II523" s="133"/>
      <c r="IJ523" s="133"/>
      <c r="IK523" s="133"/>
      <c r="IL523" s="133"/>
      <c r="IM523" s="133"/>
      <c r="IN523" s="133"/>
      <c r="IO523" s="133"/>
      <c r="IP523" s="133"/>
      <c r="IQ523" s="133"/>
      <c r="IR523" s="133"/>
      <c r="IS523" s="133"/>
      <c r="IT523" s="133"/>
      <c r="IU523" s="133"/>
      <c r="IV523" s="133"/>
    </row>
    <row r="524" spans="1:256" s="132" customFormat="1" ht="13.8">
      <c r="A524" s="133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GE524" s="133"/>
      <c r="GF524" s="133"/>
      <c r="GG524" s="133"/>
      <c r="GH524" s="133"/>
      <c r="GI524" s="133"/>
      <c r="GJ524" s="133"/>
      <c r="GK524" s="133"/>
      <c r="GL524" s="133"/>
      <c r="GM524" s="133"/>
      <c r="GN524" s="133"/>
      <c r="GO524" s="133"/>
      <c r="GP524" s="133"/>
      <c r="GQ524" s="133"/>
      <c r="GR524" s="133"/>
      <c r="GS524" s="133"/>
      <c r="GT524" s="133"/>
      <c r="GU524" s="133"/>
      <c r="GV524" s="133"/>
      <c r="GW524" s="133"/>
      <c r="GX524" s="133"/>
      <c r="GY524" s="133"/>
      <c r="GZ524" s="133"/>
      <c r="HA524" s="133"/>
      <c r="HB524" s="133"/>
      <c r="HC524" s="133"/>
      <c r="HD524" s="133"/>
      <c r="HE524" s="133"/>
      <c r="HF524" s="133"/>
      <c r="HG524" s="133"/>
      <c r="HH524" s="133"/>
      <c r="HI524" s="133"/>
      <c r="HJ524" s="133"/>
      <c r="HK524" s="133"/>
      <c r="HL524" s="133"/>
      <c r="HM524" s="133"/>
      <c r="HN524" s="133"/>
      <c r="HO524" s="133"/>
      <c r="HP524" s="133"/>
      <c r="HQ524" s="133"/>
      <c r="HR524" s="133"/>
      <c r="HS524" s="133"/>
      <c r="HT524" s="133"/>
      <c r="HU524" s="133"/>
      <c r="HV524" s="133"/>
      <c r="HW524" s="133"/>
      <c r="HX524" s="133"/>
      <c r="HY524" s="133"/>
      <c r="HZ524" s="133"/>
      <c r="IA524" s="133"/>
      <c r="IB524" s="133"/>
      <c r="IC524" s="133"/>
      <c r="ID524" s="133"/>
      <c r="IE524" s="133"/>
      <c r="IF524" s="133"/>
      <c r="IG524" s="133"/>
      <c r="IH524" s="133"/>
      <c r="II524" s="133"/>
      <c r="IJ524" s="133"/>
      <c r="IK524" s="133"/>
      <c r="IL524" s="133"/>
      <c r="IM524" s="133"/>
      <c r="IN524" s="133"/>
      <c r="IO524" s="133"/>
      <c r="IP524" s="133"/>
      <c r="IQ524" s="133"/>
      <c r="IR524" s="133"/>
      <c r="IS524" s="133"/>
      <c r="IT524" s="133"/>
      <c r="IU524" s="133"/>
      <c r="IV524" s="133"/>
    </row>
    <row r="525" spans="1:256" s="132" customFormat="1" ht="13.8">
      <c r="A525" s="133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GE525" s="133"/>
      <c r="GF525" s="133"/>
      <c r="GG525" s="133"/>
      <c r="GH525" s="133"/>
      <c r="GI525" s="133"/>
      <c r="GJ525" s="133"/>
      <c r="GK525" s="133"/>
      <c r="GL525" s="133"/>
      <c r="GM525" s="133"/>
      <c r="GN525" s="133"/>
      <c r="GO525" s="133"/>
      <c r="GP525" s="133"/>
      <c r="GQ525" s="133"/>
      <c r="GR525" s="133"/>
      <c r="GS525" s="133"/>
      <c r="GT525" s="133"/>
      <c r="GU525" s="133"/>
      <c r="GV525" s="133"/>
      <c r="GW525" s="133"/>
      <c r="GX525" s="133"/>
      <c r="GY525" s="133"/>
      <c r="GZ525" s="133"/>
      <c r="HA525" s="133"/>
      <c r="HB525" s="133"/>
      <c r="HC525" s="133"/>
      <c r="HD525" s="133"/>
      <c r="HE525" s="133"/>
      <c r="HF525" s="133"/>
      <c r="HG525" s="133"/>
      <c r="HH525" s="133"/>
      <c r="HI525" s="133"/>
      <c r="HJ525" s="133"/>
      <c r="HK525" s="133"/>
      <c r="HL525" s="133"/>
      <c r="HM525" s="133"/>
      <c r="HN525" s="133"/>
      <c r="HO525" s="133"/>
      <c r="HP525" s="133"/>
      <c r="HQ525" s="133"/>
      <c r="HR525" s="133"/>
      <c r="HS525" s="133"/>
      <c r="HT525" s="133"/>
      <c r="HU525" s="133"/>
      <c r="HV525" s="133"/>
      <c r="HW525" s="133"/>
      <c r="HX525" s="133"/>
      <c r="HY525" s="133"/>
      <c r="HZ525" s="133"/>
      <c r="IA525" s="133"/>
      <c r="IB525" s="133"/>
      <c r="IC525" s="133"/>
      <c r="ID525" s="133"/>
      <c r="IE525" s="133"/>
      <c r="IF525" s="133"/>
      <c r="IG525" s="133"/>
      <c r="IH525" s="133"/>
      <c r="II525" s="133"/>
      <c r="IJ525" s="133"/>
      <c r="IK525" s="133"/>
      <c r="IL525" s="133"/>
      <c r="IM525" s="133"/>
      <c r="IN525" s="133"/>
      <c r="IO525" s="133"/>
      <c r="IP525" s="133"/>
      <c r="IQ525" s="133"/>
      <c r="IR525" s="133"/>
      <c r="IS525" s="133"/>
      <c r="IT525" s="133"/>
      <c r="IU525" s="133"/>
      <c r="IV525" s="133"/>
    </row>
    <row r="526" spans="1:256" s="132" customFormat="1" ht="13.8">
      <c r="A526" s="133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GE526" s="133"/>
      <c r="GF526" s="133"/>
      <c r="GG526" s="133"/>
      <c r="GH526" s="133"/>
      <c r="GI526" s="133"/>
      <c r="GJ526" s="133"/>
      <c r="GK526" s="133"/>
      <c r="GL526" s="133"/>
      <c r="GM526" s="133"/>
      <c r="GN526" s="133"/>
      <c r="GO526" s="133"/>
      <c r="GP526" s="133"/>
      <c r="GQ526" s="133"/>
      <c r="GR526" s="133"/>
      <c r="GS526" s="133"/>
      <c r="GT526" s="133"/>
      <c r="GU526" s="133"/>
      <c r="GV526" s="133"/>
      <c r="GW526" s="133"/>
      <c r="GX526" s="133"/>
      <c r="GY526" s="133"/>
      <c r="GZ526" s="133"/>
      <c r="HA526" s="133"/>
      <c r="HB526" s="133"/>
      <c r="HC526" s="133"/>
      <c r="HD526" s="133"/>
      <c r="HE526" s="133"/>
      <c r="HF526" s="133"/>
      <c r="HG526" s="133"/>
      <c r="HH526" s="133"/>
      <c r="HI526" s="133"/>
      <c r="HJ526" s="133"/>
      <c r="HK526" s="133"/>
      <c r="HL526" s="133"/>
      <c r="HM526" s="133"/>
      <c r="HN526" s="133"/>
      <c r="HO526" s="133"/>
      <c r="HP526" s="133"/>
      <c r="HQ526" s="133"/>
      <c r="HR526" s="133"/>
      <c r="HS526" s="133"/>
      <c r="HT526" s="133"/>
      <c r="HU526" s="133"/>
      <c r="HV526" s="133"/>
      <c r="HW526" s="133"/>
      <c r="HX526" s="133"/>
      <c r="HY526" s="133"/>
      <c r="HZ526" s="133"/>
      <c r="IA526" s="133"/>
      <c r="IB526" s="133"/>
      <c r="IC526" s="133"/>
      <c r="ID526" s="133"/>
      <c r="IE526" s="133"/>
      <c r="IF526" s="133"/>
      <c r="IG526" s="133"/>
      <c r="IH526" s="133"/>
      <c r="II526" s="133"/>
      <c r="IJ526" s="133"/>
      <c r="IK526" s="133"/>
      <c r="IL526" s="133"/>
      <c r="IM526" s="133"/>
      <c r="IN526" s="133"/>
      <c r="IO526" s="133"/>
      <c r="IP526" s="133"/>
      <c r="IQ526" s="133"/>
      <c r="IR526" s="133"/>
      <c r="IS526" s="133"/>
      <c r="IT526" s="133"/>
      <c r="IU526" s="133"/>
      <c r="IV526" s="133"/>
    </row>
    <row r="527" spans="1:256" s="132" customFormat="1" ht="13.8">
      <c r="A527" s="133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GE527" s="133"/>
      <c r="GF527" s="133"/>
      <c r="GG527" s="133"/>
      <c r="GH527" s="133"/>
      <c r="GI527" s="133"/>
      <c r="GJ527" s="133"/>
      <c r="GK527" s="133"/>
      <c r="GL527" s="133"/>
      <c r="GM527" s="133"/>
      <c r="GN527" s="133"/>
      <c r="GO527" s="133"/>
      <c r="GP527" s="133"/>
      <c r="GQ527" s="133"/>
      <c r="GR527" s="133"/>
      <c r="GS527" s="133"/>
      <c r="GT527" s="133"/>
      <c r="GU527" s="133"/>
      <c r="GV527" s="133"/>
      <c r="GW527" s="133"/>
      <c r="GX527" s="133"/>
      <c r="GY527" s="133"/>
      <c r="GZ527" s="133"/>
      <c r="HA527" s="133"/>
      <c r="HB527" s="133"/>
      <c r="HC527" s="133"/>
      <c r="HD527" s="133"/>
      <c r="HE527" s="133"/>
      <c r="HF527" s="133"/>
      <c r="HG527" s="133"/>
      <c r="HH527" s="133"/>
      <c r="HI527" s="133"/>
      <c r="HJ527" s="133"/>
      <c r="HK527" s="133"/>
      <c r="HL527" s="133"/>
      <c r="HM527" s="133"/>
      <c r="HN527" s="133"/>
      <c r="HO527" s="133"/>
      <c r="HP527" s="133"/>
      <c r="HQ527" s="133"/>
      <c r="HR527" s="133"/>
      <c r="HS527" s="133"/>
      <c r="HT527" s="133"/>
      <c r="HU527" s="133"/>
      <c r="HV527" s="133"/>
      <c r="HW527" s="133"/>
      <c r="HX527" s="133"/>
      <c r="HY527" s="133"/>
      <c r="HZ527" s="133"/>
      <c r="IA527" s="133"/>
      <c r="IB527" s="133"/>
      <c r="IC527" s="133"/>
      <c r="ID527" s="133"/>
      <c r="IE527" s="133"/>
      <c r="IF527" s="133"/>
      <c r="IG527" s="133"/>
      <c r="IH527" s="133"/>
      <c r="II527" s="133"/>
      <c r="IJ527" s="133"/>
      <c r="IK527" s="133"/>
      <c r="IL527" s="133"/>
      <c r="IM527" s="133"/>
      <c r="IN527" s="133"/>
      <c r="IO527" s="133"/>
      <c r="IP527" s="133"/>
      <c r="IQ527" s="133"/>
      <c r="IR527" s="133"/>
      <c r="IS527" s="133"/>
      <c r="IT527" s="133"/>
      <c r="IU527" s="133"/>
      <c r="IV527" s="133"/>
    </row>
    <row r="528" spans="1:256" s="132" customFormat="1" ht="13.8">
      <c r="A528" s="133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GE528" s="133"/>
      <c r="GF528" s="133"/>
      <c r="GG528" s="133"/>
      <c r="GH528" s="133"/>
      <c r="GI528" s="133"/>
      <c r="GJ528" s="133"/>
      <c r="GK528" s="133"/>
      <c r="GL528" s="133"/>
      <c r="GM528" s="133"/>
      <c r="GN528" s="133"/>
      <c r="GO528" s="133"/>
      <c r="GP528" s="133"/>
      <c r="GQ528" s="133"/>
      <c r="GR528" s="133"/>
      <c r="GS528" s="133"/>
      <c r="GT528" s="133"/>
      <c r="GU528" s="133"/>
      <c r="GV528" s="133"/>
      <c r="GW528" s="133"/>
      <c r="GX528" s="133"/>
      <c r="GY528" s="133"/>
      <c r="GZ528" s="133"/>
      <c r="HA528" s="133"/>
      <c r="HB528" s="133"/>
      <c r="HC528" s="133"/>
      <c r="HD528" s="133"/>
      <c r="HE528" s="133"/>
      <c r="HF528" s="133"/>
      <c r="HG528" s="133"/>
      <c r="HH528" s="133"/>
      <c r="HI528" s="133"/>
      <c r="HJ528" s="133"/>
      <c r="HK528" s="133"/>
      <c r="HL528" s="133"/>
      <c r="HM528" s="133"/>
      <c r="HN528" s="133"/>
      <c r="HO528" s="133"/>
      <c r="HP528" s="133"/>
      <c r="HQ528" s="133"/>
      <c r="HR528" s="133"/>
      <c r="HS528" s="133"/>
      <c r="HT528" s="133"/>
      <c r="HU528" s="133"/>
      <c r="HV528" s="133"/>
      <c r="HW528" s="133"/>
      <c r="HX528" s="133"/>
      <c r="HY528" s="133"/>
      <c r="HZ528" s="133"/>
      <c r="IA528" s="133"/>
      <c r="IB528" s="133"/>
      <c r="IC528" s="133"/>
      <c r="ID528" s="133"/>
      <c r="IE528" s="133"/>
      <c r="IF528" s="133"/>
      <c r="IG528" s="133"/>
      <c r="IH528" s="133"/>
      <c r="II528" s="133"/>
      <c r="IJ528" s="133"/>
      <c r="IK528" s="133"/>
      <c r="IL528" s="133"/>
      <c r="IM528" s="133"/>
      <c r="IN528" s="133"/>
      <c r="IO528" s="133"/>
      <c r="IP528" s="133"/>
      <c r="IQ528" s="133"/>
      <c r="IR528" s="133"/>
      <c r="IS528" s="133"/>
      <c r="IT528" s="133"/>
      <c r="IU528" s="133"/>
      <c r="IV528" s="133"/>
    </row>
    <row r="529" spans="1:256" s="132" customFormat="1" ht="13.8">
      <c r="A529" s="133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GE529" s="133"/>
      <c r="GF529" s="133"/>
      <c r="GG529" s="133"/>
      <c r="GH529" s="133"/>
      <c r="GI529" s="133"/>
      <c r="GJ529" s="133"/>
      <c r="GK529" s="133"/>
      <c r="GL529" s="133"/>
      <c r="GM529" s="133"/>
      <c r="GN529" s="133"/>
      <c r="GO529" s="133"/>
      <c r="GP529" s="133"/>
      <c r="GQ529" s="133"/>
      <c r="GR529" s="133"/>
      <c r="GS529" s="133"/>
      <c r="GT529" s="133"/>
      <c r="GU529" s="133"/>
      <c r="GV529" s="133"/>
      <c r="GW529" s="133"/>
      <c r="GX529" s="133"/>
      <c r="GY529" s="133"/>
      <c r="GZ529" s="133"/>
      <c r="HA529" s="133"/>
      <c r="HB529" s="133"/>
      <c r="HC529" s="133"/>
      <c r="HD529" s="133"/>
      <c r="HE529" s="133"/>
      <c r="HF529" s="133"/>
      <c r="HG529" s="133"/>
      <c r="HH529" s="133"/>
      <c r="HI529" s="133"/>
      <c r="HJ529" s="133"/>
      <c r="HK529" s="133"/>
      <c r="HL529" s="133"/>
      <c r="HM529" s="133"/>
      <c r="HN529" s="133"/>
      <c r="HO529" s="133"/>
      <c r="HP529" s="133"/>
      <c r="HQ529" s="133"/>
      <c r="HR529" s="133"/>
      <c r="HS529" s="133"/>
      <c r="HT529" s="133"/>
      <c r="HU529" s="133"/>
      <c r="HV529" s="133"/>
      <c r="HW529" s="133"/>
      <c r="HX529" s="133"/>
      <c r="HY529" s="133"/>
      <c r="HZ529" s="133"/>
      <c r="IA529" s="133"/>
      <c r="IB529" s="133"/>
      <c r="IC529" s="133"/>
      <c r="ID529" s="133"/>
      <c r="IE529" s="133"/>
      <c r="IF529" s="133"/>
      <c r="IG529" s="133"/>
      <c r="IH529" s="133"/>
      <c r="II529" s="133"/>
      <c r="IJ529" s="133"/>
      <c r="IK529" s="133"/>
      <c r="IL529" s="133"/>
      <c r="IM529" s="133"/>
      <c r="IN529" s="133"/>
      <c r="IO529" s="133"/>
      <c r="IP529" s="133"/>
      <c r="IQ529" s="133"/>
      <c r="IR529" s="133"/>
      <c r="IS529" s="133"/>
      <c r="IT529" s="133"/>
      <c r="IU529" s="133"/>
      <c r="IV529" s="133"/>
    </row>
    <row r="530" spans="1:256" s="132" customFormat="1" ht="13.8">
      <c r="A530" s="133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GE530" s="133"/>
      <c r="GF530" s="133"/>
      <c r="GG530" s="133"/>
      <c r="GH530" s="133"/>
      <c r="GI530" s="133"/>
      <c r="GJ530" s="133"/>
      <c r="GK530" s="133"/>
      <c r="GL530" s="133"/>
      <c r="GM530" s="133"/>
      <c r="GN530" s="133"/>
      <c r="GO530" s="133"/>
      <c r="GP530" s="133"/>
      <c r="GQ530" s="133"/>
      <c r="GR530" s="133"/>
      <c r="GS530" s="133"/>
      <c r="GT530" s="133"/>
      <c r="GU530" s="133"/>
      <c r="GV530" s="133"/>
      <c r="GW530" s="133"/>
      <c r="GX530" s="133"/>
      <c r="GY530" s="133"/>
      <c r="GZ530" s="133"/>
      <c r="HA530" s="133"/>
      <c r="HB530" s="133"/>
      <c r="HC530" s="133"/>
      <c r="HD530" s="133"/>
      <c r="HE530" s="133"/>
      <c r="HF530" s="133"/>
      <c r="HG530" s="133"/>
      <c r="HH530" s="133"/>
      <c r="HI530" s="133"/>
      <c r="HJ530" s="133"/>
      <c r="HK530" s="133"/>
      <c r="HL530" s="133"/>
      <c r="HM530" s="133"/>
      <c r="HN530" s="133"/>
      <c r="HO530" s="133"/>
      <c r="HP530" s="133"/>
      <c r="HQ530" s="133"/>
      <c r="HR530" s="133"/>
      <c r="HS530" s="133"/>
      <c r="HT530" s="133"/>
      <c r="HU530" s="133"/>
      <c r="HV530" s="133"/>
      <c r="HW530" s="133"/>
      <c r="HX530" s="133"/>
      <c r="HY530" s="133"/>
      <c r="HZ530" s="133"/>
      <c r="IA530" s="133"/>
      <c r="IB530" s="133"/>
      <c r="IC530" s="133"/>
      <c r="ID530" s="133"/>
      <c r="IE530" s="133"/>
      <c r="IF530" s="133"/>
      <c r="IG530" s="133"/>
      <c r="IH530" s="133"/>
      <c r="II530" s="133"/>
      <c r="IJ530" s="133"/>
      <c r="IK530" s="133"/>
      <c r="IL530" s="133"/>
      <c r="IM530" s="133"/>
      <c r="IN530" s="133"/>
      <c r="IO530" s="133"/>
      <c r="IP530" s="133"/>
      <c r="IQ530" s="133"/>
      <c r="IR530" s="133"/>
      <c r="IS530" s="133"/>
      <c r="IT530" s="133"/>
      <c r="IU530" s="133"/>
      <c r="IV530" s="133"/>
    </row>
    <row r="531" spans="1:256" s="132" customFormat="1" ht="13.8">
      <c r="A531" s="133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GE531" s="133"/>
      <c r="GF531" s="133"/>
      <c r="GG531" s="133"/>
      <c r="GH531" s="133"/>
      <c r="GI531" s="133"/>
      <c r="GJ531" s="133"/>
      <c r="GK531" s="133"/>
      <c r="GL531" s="133"/>
      <c r="GM531" s="133"/>
      <c r="GN531" s="133"/>
      <c r="GO531" s="133"/>
      <c r="GP531" s="133"/>
      <c r="GQ531" s="133"/>
      <c r="GR531" s="133"/>
      <c r="GS531" s="133"/>
      <c r="GT531" s="133"/>
      <c r="GU531" s="133"/>
      <c r="GV531" s="133"/>
      <c r="GW531" s="133"/>
      <c r="GX531" s="133"/>
      <c r="GY531" s="133"/>
      <c r="GZ531" s="133"/>
      <c r="HA531" s="133"/>
      <c r="HB531" s="133"/>
      <c r="HC531" s="133"/>
      <c r="HD531" s="133"/>
      <c r="HE531" s="133"/>
      <c r="HF531" s="133"/>
      <c r="HG531" s="133"/>
      <c r="HH531" s="133"/>
      <c r="HI531" s="133"/>
      <c r="HJ531" s="133"/>
      <c r="HK531" s="133"/>
      <c r="HL531" s="133"/>
      <c r="HM531" s="133"/>
      <c r="HN531" s="133"/>
      <c r="HO531" s="133"/>
      <c r="HP531" s="133"/>
      <c r="HQ531" s="133"/>
      <c r="HR531" s="133"/>
      <c r="HS531" s="133"/>
      <c r="HT531" s="133"/>
      <c r="HU531" s="133"/>
      <c r="HV531" s="133"/>
      <c r="HW531" s="133"/>
      <c r="HX531" s="133"/>
      <c r="HY531" s="133"/>
      <c r="HZ531" s="133"/>
      <c r="IA531" s="133"/>
      <c r="IB531" s="133"/>
      <c r="IC531" s="133"/>
      <c r="ID531" s="133"/>
      <c r="IE531" s="133"/>
      <c r="IF531" s="133"/>
      <c r="IG531" s="133"/>
      <c r="IH531" s="133"/>
      <c r="II531" s="133"/>
      <c r="IJ531" s="133"/>
      <c r="IK531" s="133"/>
      <c r="IL531" s="133"/>
      <c r="IM531" s="133"/>
      <c r="IN531" s="133"/>
      <c r="IO531" s="133"/>
      <c r="IP531" s="133"/>
      <c r="IQ531" s="133"/>
      <c r="IR531" s="133"/>
      <c r="IS531" s="133"/>
      <c r="IT531" s="133"/>
      <c r="IU531" s="133"/>
      <c r="IV531" s="133"/>
    </row>
    <row r="532" spans="1:256" s="132" customFormat="1" ht="13.8">
      <c r="A532" s="133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GE532" s="133"/>
      <c r="GF532" s="133"/>
      <c r="GG532" s="133"/>
      <c r="GH532" s="133"/>
      <c r="GI532" s="133"/>
      <c r="GJ532" s="133"/>
      <c r="GK532" s="133"/>
      <c r="GL532" s="133"/>
      <c r="GM532" s="133"/>
      <c r="GN532" s="133"/>
      <c r="GO532" s="133"/>
      <c r="GP532" s="133"/>
      <c r="GQ532" s="133"/>
      <c r="GR532" s="133"/>
      <c r="GS532" s="133"/>
      <c r="GT532" s="133"/>
      <c r="GU532" s="133"/>
      <c r="GV532" s="133"/>
      <c r="GW532" s="133"/>
      <c r="GX532" s="133"/>
      <c r="GY532" s="133"/>
      <c r="GZ532" s="133"/>
      <c r="HA532" s="133"/>
      <c r="HB532" s="133"/>
      <c r="HC532" s="133"/>
      <c r="HD532" s="133"/>
      <c r="HE532" s="133"/>
      <c r="HF532" s="133"/>
      <c r="HG532" s="133"/>
      <c r="HH532" s="133"/>
      <c r="HI532" s="133"/>
      <c r="HJ532" s="133"/>
      <c r="HK532" s="133"/>
      <c r="HL532" s="133"/>
      <c r="HM532" s="133"/>
      <c r="HN532" s="133"/>
      <c r="HO532" s="133"/>
      <c r="HP532" s="133"/>
      <c r="HQ532" s="133"/>
      <c r="HR532" s="133"/>
      <c r="HS532" s="133"/>
      <c r="HT532" s="133"/>
      <c r="HU532" s="133"/>
      <c r="HV532" s="133"/>
      <c r="HW532" s="133"/>
      <c r="HX532" s="133"/>
      <c r="HY532" s="133"/>
      <c r="HZ532" s="133"/>
      <c r="IA532" s="133"/>
      <c r="IB532" s="133"/>
      <c r="IC532" s="133"/>
      <c r="ID532" s="133"/>
      <c r="IE532" s="133"/>
      <c r="IF532" s="133"/>
      <c r="IG532" s="133"/>
      <c r="IH532" s="133"/>
      <c r="II532" s="133"/>
      <c r="IJ532" s="133"/>
      <c r="IK532" s="133"/>
      <c r="IL532" s="133"/>
      <c r="IM532" s="133"/>
      <c r="IN532" s="133"/>
      <c r="IO532" s="133"/>
      <c r="IP532" s="133"/>
      <c r="IQ532" s="133"/>
      <c r="IR532" s="133"/>
      <c r="IS532" s="133"/>
      <c r="IT532" s="133"/>
      <c r="IU532" s="133"/>
      <c r="IV532" s="133"/>
    </row>
    <row r="533" spans="1:256" s="132" customFormat="1" ht="13.8">
      <c r="A533" s="133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GE533" s="133"/>
      <c r="GF533" s="133"/>
      <c r="GG533" s="133"/>
      <c r="GH533" s="133"/>
      <c r="GI533" s="133"/>
      <c r="GJ533" s="133"/>
      <c r="GK533" s="133"/>
      <c r="GL533" s="133"/>
      <c r="GM533" s="133"/>
      <c r="GN533" s="133"/>
      <c r="GO533" s="133"/>
      <c r="GP533" s="133"/>
      <c r="GQ533" s="133"/>
      <c r="GR533" s="133"/>
      <c r="GS533" s="133"/>
      <c r="GT533" s="133"/>
      <c r="GU533" s="133"/>
      <c r="GV533" s="133"/>
      <c r="GW533" s="133"/>
      <c r="GX533" s="133"/>
      <c r="GY533" s="133"/>
      <c r="GZ533" s="133"/>
      <c r="HA533" s="133"/>
      <c r="HB533" s="133"/>
      <c r="HC533" s="133"/>
      <c r="HD533" s="133"/>
      <c r="HE533" s="133"/>
      <c r="HF533" s="133"/>
      <c r="HG533" s="133"/>
      <c r="HH533" s="133"/>
      <c r="HI533" s="133"/>
      <c r="HJ533" s="133"/>
      <c r="HK533" s="133"/>
      <c r="HL533" s="133"/>
      <c r="HM533" s="133"/>
      <c r="HN533" s="133"/>
      <c r="HO533" s="133"/>
      <c r="HP533" s="133"/>
      <c r="HQ533" s="133"/>
      <c r="HR533" s="133"/>
      <c r="HS533" s="133"/>
      <c r="HT533" s="133"/>
      <c r="HU533" s="133"/>
      <c r="HV533" s="133"/>
      <c r="HW533" s="133"/>
      <c r="HX533" s="133"/>
      <c r="HY533" s="133"/>
      <c r="HZ533" s="133"/>
      <c r="IA533" s="133"/>
      <c r="IB533" s="133"/>
      <c r="IC533" s="133"/>
      <c r="ID533" s="133"/>
      <c r="IE533" s="133"/>
      <c r="IF533" s="133"/>
      <c r="IG533" s="133"/>
      <c r="IH533" s="133"/>
      <c r="II533" s="133"/>
      <c r="IJ533" s="133"/>
      <c r="IK533" s="133"/>
      <c r="IL533" s="133"/>
      <c r="IM533" s="133"/>
      <c r="IN533" s="133"/>
      <c r="IO533" s="133"/>
      <c r="IP533" s="133"/>
      <c r="IQ533" s="133"/>
      <c r="IR533" s="133"/>
      <c r="IS533" s="133"/>
      <c r="IT533" s="133"/>
      <c r="IU533" s="133"/>
      <c r="IV533" s="133"/>
    </row>
    <row r="534" spans="1:256" s="132" customFormat="1" ht="13.8">
      <c r="A534" s="133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GE534" s="133"/>
      <c r="GF534" s="133"/>
      <c r="GG534" s="133"/>
      <c r="GH534" s="133"/>
      <c r="GI534" s="133"/>
      <c r="GJ534" s="133"/>
      <c r="GK534" s="133"/>
      <c r="GL534" s="133"/>
      <c r="GM534" s="133"/>
      <c r="GN534" s="133"/>
      <c r="GO534" s="133"/>
      <c r="GP534" s="133"/>
      <c r="GQ534" s="133"/>
      <c r="GR534" s="133"/>
      <c r="GS534" s="133"/>
      <c r="GT534" s="133"/>
      <c r="GU534" s="133"/>
      <c r="GV534" s="133"/>
      <c r="GW534" s="133"/>
      <c r="GX534" s="133"/>
      <c r="GY534" s="133"/>
      <c r="GZ534" s="133"/>
      <c r="HA534" s="133"/>
      <c r="HB534" s="133"/>
      <c r="HC534" s="133"/>
      <c r="HD534" s="133"/>
      <c r="HE534" s="133"/>
      <c r="HF534" s="133"/>
      <c r="HG534" s="133"/>
      <c r="HH534" s="133"/>
      <c r="HI534" s="133"/>
      <c r="HJ534" s="133"/>
      <c r="HK534" s="133"/>
      <c r="HL534" s="133"/>
      <c r="HM534" s="133"/>
      <c r="HN534" s="133"/>
      <c r="HO534" s="133"/>
      <c r="HP534" s="133"/>
      <c r="HQ534" s="133"/>
      <c r="HR534" s="133"/>
      <c r="HS534" s="133"/>
      <c r="HT534" s="133"/>
      <c r="HU534" s="133"/>
      <c r="HV534" s="133"/>
      <c r="HW534" s="133"/>
      <c r="HX534" s="133"/>
      <c r="HY534" s="133"/>
      <c r="HZ534" s="133"/>
      <c r="IA534" s="133"/>
      <c r="IB534" s="133"/>
      <c r="IC534" s="133"/>
      <c r="ID534" s="133"/>
      <c r="IE534" s="133"/>
      <c r="IF534" s="133"/>
      <c r="IG534" s="133"/>
      <c r="IH534" s="133"/>
      <c r="II534" s="133"/>
      <c r="IJ534" s="133"/>
      <c r="IK534" s="133"/>
      <c r="IL534" s="133"/>
      <c r="IM534" s="133"/>
      <c r="IN534" s="133"/>
      <c r="IO534" s="133"/>
      <c r="IP534" s="133"/>
      <c r="IQ534" s="133"/>
      <c r="IR534" s="133"/>
      <c r="IS534" s="133"/>
      <c r="IT534" s="133"/>
      <c r="IU534" s="133"/>
      <c r="IV534" s="133"/>
    </row>
    <row r="535" spans="1:256" s="132" customFormat="1" ht="13.8">
      <c r="A535" s="133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GE535" s="133"/>
      <c r="GF535" s="133"/>
      <c r="GG535" s="133"/>
      <c r="GH535" s="133"/>
      <c r="GI535" s="133"/>
      <c r="GJ535" s="133"/>
      <c r="GK535" s="133"/>
      <c r="GL535" s="133"/>
      <c r="GM535" s="133"/>
      <c r="GN535" s="133"/>
      <c r="GO535" s="133"/>
      <c r="GP535" s="133"/>
      <c r="GQ535" s="133"/>
      <c r="GR535" s="133"/>
      <c r="GS535" s="133"/>
      <c r="GT535" s="133"/>
      <c r="GU535" s="133"/>
      <c r="GV535" s="133"/>
      <c r="GW535" s="133"/>
      <c r="GX535" s="133"/>
      <c r="GY535" s="133"/>
      <c r="GZ535" s="133"/>
      <c r="HA535" s="133"/>
      <c r="HB535" s="133"/>
      <c r="HC535" s="133"/>
      <c r="HD535" s="133"/>
      <c r="HE535" s="133"/>
      <c r="HF535" s="133"/>
      <c r="HG535" s="133"/>
      <c r="HH535" s="133"/>
      <c r="HI535" s="133"/>
      <c r="HJ535" s="133"/>
      <c r="HK535" s="133"/>
      <c r="HL535" s="133"/>
      <c r="HM535" s="133"/>
      <c r="HN535" s="133"/>
      <c r="HO535" s="133"/>
      <c r="HP535" s="133"/>
      <c r="HQ535" s="133"/>
      <c r="HR535" s="133"/>
      <c r="HS535" s="133"/>
      <c r="HT535" s="133"/>
      <c r="HU535" s="133"/>
      <c r="HV535" s="133"/>
      <c r="HW535" s="133"/>
      <c r="HX535" s="133"/>
      <c r="HY535" s="133"/>
      <c r="HZ535" s="133"/>
      <c r="IA535" s="133"/>
      <c r="IB535" s="133"/>
      <c r="IC535" s="133"/>
      <c r="ID535" s="133"/>
      <c r="IE535" s="133"/>
      <c r="IF535" s="133"/>
      <c r="IG535" s="133"/>
      <c r="IH535" s="133"/>
      <c r="II535" s="133"/>
      <c r="IJ535" s="133"/>
      <c r="IK535" s="133"/>
      <c r="IL535" s="133"/>
      <c r="IM535" s="133"/>
      <c r="IN535" s="133"/>
      <c r="IO535" s="133"/>
      <c r="IP535" s="133"/>
      <c r="IQ535" s="133"/>
      <c r="IR535" s="133"/>
      <c r="IS535" s="133"/>
      <c r="IT535" s="133"/>
      <c r="IU535" s="133"/>
      <c r="IV535" s="133"/>
    </row>
    <row r="536" spans="1:256" s="132" customFormat="1" ht="13.8">
      <c r="A536" s="133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GE536" s="133"/>
      <c r="GF536" s="133"/>
      <c r="GG536" s="133"/>
      <c r="GH536" s="133"/>
      <c r="GI536" s="133"/>
      <c r="GJ536" s="133"/>
      <c r="GK536" s="133"/>
      <c r="GL536" s="133"/>
      <c r="GM536" s="133"/>
      <c r="GN536" s="133"/>
      <c r="GO536" s="133"/>
      <c r="GP536" s="133"/>
      <c r="GQ536" s="133"/>
      <c r="GR536" s="133"/>
      <c r="GS536" s="133"/>
      <c r="GT536" s="133"/>
      <c r="GU536" s="133"/>
      <c r="GV536" s="133"/>
      <c r="GW536" s="133"/>
      <c r="GX536" s="133"/>
      <c r="GY536" s="133"/>
      <c r="GZ536" s="133"/>
      <c r="HA536" s="133"/>
      <c r="HB536" s="133"/>
      <c r="HC536" s="133"/>
      <c r="HD536" s="133"/>
      <c r="HE536" s="133"/>
      <c r="HF536" s="133"/>
      <c r="HG536" s="133"/>
      <c r="HH536" s="133"/>
      <c r="HI536" s="133"/>
      <c r="HJ536" s="133"/>
      <c r="HK536" s="133"/>
      <c r="HL536" s="133"/>
      <c r="HM536" s="133"/>
      <c r="HN536" s="133"/>
      <c r="HO536" s="133"/>
      <c r="HP536" s="133"/>
      <c r="HQ536" s="133"/>
      <c r="HR536" s="133"/>
      <c r="HS536" s="133"/>
      <c r="HT536" s="133"/>
      <c r="HU536" s="133"/>
      <c r="HV536" s="133"/>
      <c r="HW536" s="133"/>
      <c r="HX536" s="133"/>
      <c r="HY536" s="133"/>
      <c r="HZ536" s="133"/>
      <c r="IA536" s="133"/>
      <c r="IB536" s="133"/>
      <c r="IC536" s="133"/>
      <c r="ID536" s="133"/>
      <c r="IE536" s="133"/>
      <c r="IF536" s="133"/>
      <c r="IG536" s="133"/>
      <c r="IH536" s="133"/>
      <c r="II536" s="133"/>
      <c r="IJ536" s="133"/>
      <c r="IK536" s="133"/>
      <c r="IL536" s="133"/>
      <c r="IM536" s="133"/>
      <c r="IN536" s="133"/>
      <c r="IO536" s="133"/>
      <c r="IP536" s="133"/>
      <c r="IQ536" s="133"/>
      <c r="IR536" s="133"/>
      <c r="IS536" s="133"/>
      <c r="IT536" s="133"/>
      <c r="IU536" s="133"/>
      <c r="IV536" s="133"/>
    </row>
    <row r="537" spans="1:256" s="132" customFormat="1" ht="13.8">
      <c r="A537" s="133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GE537" s="133"/>
      <c r="GF537" s="133"/>
      <c r="GG537" s="133"/>
      <c r="GH537" s="133"/>
      <c r="GI537" s="133"/>
      <c r="GJ537" s="133"/>
      <c r="GK537" s="133"/>
      <c r="GL537" s="133"/>
      <c r="GM537" s="133"/>
      <c r="GN537" s="133"/>
      <c r="GO537" s="133"/>
      <c r="GP537" s="133"/>
      <c r="GQ537" s="133"/>
      <c r="GR537" s="133"/>
      <c r="GS537" s="133"/>
      <c r="GT537" s="133"/>
      <c r="GU537" s="133"/>
      <c r="GV537" s="133"/>
      <c r="GW537" s="133"/>
      <c r="GX537" s="133"/>
      <c r="GY537" s="133"/>
      <c r="GZ537" s="133"/>
      <c r="HA537" s="133"/>
      <c r="HB537" s="133"/>
      <c r="HC537" s="133"/>
      <c r="HD537" s="133"/>
      <c r="HE537" s="133"/>
      <c r="HF537" s="133"/>
      <c r="HG537" s="133"/>
      <c r="HH537" s="133"/>
      <c r="HI537" s="133"/>
      <c r="HJ537" s="133"/>
      <c r="HK537" s="133"/>
      <c r="HL537" s="133"/>
      <c r="HM537" s="133"/>
      <c r="HN537" s="133"/>
      <c r="HO537" s="133"/>
      <c r="HP537" s="133"/>
      <c r="HQ537" s="133"/>
      <c r="HR537" s="133"/>
      <c r="HS537" s="133"/>
      <c r="HT537" s="133"/>
      <c r="HU537" s="133"/>
      <c r="HV537" s="133"/>
      <c r="HW537" s="133"/>
      <c r="HX537" s="133"/>
      <c r="HY537" s="133"/>
      <c r="HZ537" s="133"/>
      <c r="IA537" s="133"/>
      <c r="IB537" s="133"/>
      <c r="IC537" s="133"/>
      <c r="ID537" s="133"/>
      <c r="IE537" s="133"/>
      <c r="IF537" s="133"/>
      <c r="IG537" s="133"/>
      <c r="IH537" s="133"/>
      <c r="II537" s="133"/>
      <c r="IJ537" s="133"/>
      <c r="IK537" s="133"/>
      <c r="IL537" s="133"/>
      <c r="IM537" s="133"/>
      <c r="IN537" s="133"/>
      <c r="IO537" s="133"/>
      <c r="IP537" s="133"/>
      <c r="IQ537" s="133"/>
      <c r="IR537" s="133"/>
      <c r="IS537" s="133"/>
      <c r="IT537" s="133"/>
      <c r="IU537" s="133"/>
      <c r="IV537" s="133"/>
    </row>
    <row r="538" spans="1:256" s="132" customFormat="1" ht="13.8">
      <c r="A538" s="133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GE538" s="133"/>
      <c r="GF538" s="133"/>
      <c r="GG538" s="133"/>
      <c r="GH538" s="133"/>
      <c r="GI538" s="133"/>
      <c r="GJ538" s="133"/>
      <c r="GK538" s="133"/>
      <c r="GL538" s="133"/>
      <c r="GM538" s="133"/>
      <c r="GN538" s="133"/>
      <c r="GO538" s="133"/>
      <c r="GP538" s="133"/>
      <c r="GQ538" s="133"/>
      <c r="GR538" s="133"/>
      <c r="GS538" s="133"/>
      <c r="GT538" s="133"/>
      <c r="GU538" s="133"/>
      <c r="GV538" s="133"/>
      <c r="GW538" s="133"/>
      <c r="GX538" s="133"/>
      <c r="GY538" s="133"/>
      <c r="GZ538" s="133"/>
      <c r="HA538" s="133"/>
      <c r="HB538" s="133"/>
      <c r="HC538" s="133"/>
      <c r="HD538" s="133"/>
      <c r="HE538" s="133"/>
      <c r="HF538" s="133"/>
      <c r="HG538" s="133"/>
      <c r="HH538" s="133"/>
      <c r="HI538" s="133"/>
      <c r="HJ538" s="133"/>
      <c r="HK538" s="133"/>
      <c r="HL538" s="133"/>
      <c r="HM538" s="133"/>
      <c r="HN538" s="133"/>
      <c r="HO538" s="133"/>
      <c r="HP538" s="133"/>
      <c r="HQ538" s="133"/>
      <c r="HR538" s="133"/>
      <c r="HS538" s="133"/>
      <c r="HT538" s="133"/>
      <c r="HU538" s="133"/>
      <c r="HV538" s="133"/>
      <c r="HW538" s="133"/>
      <c r="HX538" s="133"/>
      <c r="HY538" s="133"/>
      <c r="HZ538" s="133"/>
      <c r="IA538" s="133"/>
      <c r="IB538" s="133"/>
      <c r="IC538" s="133"/>
      <c r="ID538" s="133"/>
      <c r="IE538" s="133"/>
      <c r="IF538" s="133"/>
      <c r="IG538" s="133"/>
      <c r="IH538" s="133"/>
      <c r="II538" s="133"/>
      <c r="IJ538" s="133"/>
      <c r="IK538" s="133"/>
      <c r="IL538" s="133"/>
      <c r="IM538" s="133"/>
      <c r="IN538" s="133"/>
      <c r="IO538" s="133"/>
      <c r="IP538" s="133"/>
      <c r="IQ538" s="133"/>
      <c r="IR538" s="133"/>
      <c r="IS538" s="133"/>
      <c r="IT538" s="133"/>
      <c r="IU538" s="133"/>
      <c r="IV538" s="133"/>
    </row>
    <row r="539" spans="1:256" s="132" customFormat="1" ht="13.8">
      <c r="A539" s="133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GE539" s="133"/>
      <c r="GF539" s="133"/>
      <c r="GG539" s="133"/>
      <c r="GH539" s="133"/>
      <c r="GI539" s="133"/>
      <c r="GJ539" s="133"/>
      <c r="GK539" s="133"/>
      <c r="GL539" s="133"/>
      <c r="GM539" s="133"/>
      <c r="GN539" s="133"/>
      <c r="GO539" s="133"/>
      <c r="GP539" s="133"/>
      <c r="GQ539" s="133"/>
      <c r="GR539" s="133"/>
      <c r="GS539" s="133"/>
      <c r="GT539" s="133"/>
      <c r="GU539" s="133"/>
      <c r="GV539" s="133"/>
      <c r="GW539" s="133"/>
      <c r="GX539" s="133"/>
      <c r="GY539" s="133"/>
      <c r="GZ539" s="133"/>
      <c r="HA539" s="133"/>
      <c r="HB539" s="133"/>
      <c r="HC539" s="133"/>
      <c r="HD539" s="133"/>
      <c r="HE539" s="133"/>
      <c r="HF539" s="133"/>
      <c r="HG539" s="133"/>
      <c r="HH539" s="133"/>
      <c r="HI539" s="133"/>
      <c r="HJ539" s="133"/>
      <c r="HK539" s="133"/>
      <c r="HL539" s="133"/>
      <c r="HM539" s="133"/>
      <c r="HN539" s="133"/>
      <c r="HO539" s="133"/>
      <c r="HP539" s="133"/>
      <c r="HQ539" s="133"/>
      <c r="HR539" s="133"/>
      <c r="HS539" s="133"/>
      <c r="HT539" s="133"/>
      <c r="HU539" s="133"/>
      <c r="HV539" s="133"/>
      <c r="HW539" s="133"/>
      <c r="HX539" s="133"/>
      <c r="HY539" s="133"/>
      <c r="HZ539" s="133"/>
      <c r="IA539" s="133"/>
      <c r="IB539" s="133"/>
      <c r="IC539" s="133"/>
      <c r="ID539" s="133"/>
      <c r="IE539" s="133"/>
      <c r="IF539" s="133"/>
      <c r="IG539" s="133"/>
      <c r="IH539" s="133"/>
      <c r="II539" s="133"/>
      <c r="IJ539" s="133"/>
      <c r="IK539" s="133"/>
      <c r="IL539" s="133"/>
      <c r="IM539" s="133"/>
      <c r="IN539" s="133"/>
      <c r="IO539" s="133"/>
      <c r="IP539" s="133"/>
      <c r="IQ539" s="133"/>
      <c r="IR539" s="133"/>
      <c r="IS539" s="133"/>
      <c r="IT539" s="133"/>
      <c r="IU539" s="133"/>
      <c r="IV539" s="133"/>
    </row>
    <row r="540" spans="1:256" s="132" customFormat="1" ht="13.8">
      <c r="A540" s="133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GE540" s="133"/>
      <c r="GF540" s="133"/>
      <c r="GG540" s="133"/>
      <c r="GH540" s="133"/>
      <c r="GI540" s="133"/>
      <c r="GJ540" s="133"/>
      <c r="GK540" s="133"/>
      <c r="GL540" s="133"/>
      <c r="GM540" s="133"/>
      <c r="GN540" s="133"/>
      <c r="GO540" s="133"/>
      <c r="GP540" s="133"/>
      <c r="GQ540" s="133"/>
      <c r="GR540" s="133"/>
      <c r="GS540" s="133"/>
      <c r="GT540" s="133"/>
      <c r="GU540" s="133"/>
      <c r="GV540" s="133"/>
      <c r="GW540" s="133"/>
      <c r="GX540" s="133"/>
      <c r="GY540" s="133"/>
      <c r="GZ540" s="133"/>
      <c r="HA540" s="133"/>
      <c r="HB540" s="133"/>
      <c r="HC540" s="133"/>
      <c r="HD540" s="133"/>
      <c r="HE540" s="133"/>
      <c r="HF540" s="133"/>
      <c r="HG540" s="133"/>
      <c r="HH540" s="133"/>
      <c r="HI540" s="133"/>
      <c r="HJ540" s="133"/>
      <c r="HK540" s="133"/>
      <c r="HL540" s="133"/>
      <c r="HM540" s="133"/>
      <c r="HN540" s="133"/>
      <c r="HO540" s="133"/>
      <c r="HP540" s="133"/>
      <c r="HQ540" s="133"/>
      <c r="HR540" s="133"/>
      <c r="HS540" s="133"/>
      <c r="HT540" s="133"/>
      <c r="HU540" s="133"/>
      <c r="HV540" s="133"/>
      <c r="HW540" s="133"/>
      <c r="HX540" s="133"/>
      <c r="HY540" s="133"/>
      <c r="HZ540" s="133"/>
      <c r="IA540" s="133"/>
      <c r="IB540" s="133"/>
      <c r="IC540" s="133"/>
      <c r="ID540" s="133"/>
      <c r="IE540" s="133"/>
      <c r="IF540" s="133"/>
      <c r="IG540" s="133"/>
      <c r="IH540" s="133"/>
      <c r="II540" s="133"/>
      <c r="IJ540" s="133"/>
      <c r="IK540" s="133"/>
      <c r="IL540" s="133"/>
      <c r="IM540" s="133"/>
      <c r="IN540" s="133"/>
      <c r="IO540" s="133"/>
      <c r="IP540" s="133"/>
      <c r="IQ540" s="133"/>
      <c r="IR540" s="133"/>
      <c r="IS540" s="133"/>
      <c r="IT540" s="133"/>
      <c r="IU540" s="133"/>
      <c r="IV540" s="133"/>
    </row>
    <row r="541" spans="1:256" s="132" customFormat="1" ht="13.8">
      <c r="A541" s="133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GE541" s="133"/>
      <c r="GF541" s="133"/>
      <c r="GG541" s="133"/>
      <c r="GH541" s="133"/>
      <c r="GI541" s="133"/>
      <c r="GJ541" s="133"/>
      <c r="GK541" s="133"/>
      <c r="GL541" s="133"/>
      <c r="GM541" s="133"/>
      <c r="GN541" s="133"/>
      <c r="GO541" s="133"/>
      <c r="GP541" s="133"/>
      <c r="GQ541" s="133"/>
      <c r="GR541" s="133"/>
      <c r="GS541" s="133"/>
      <c r="GT541" s="133"/>
      <c r="GU541" s="133"/>
      <c r="GV541" s="133"/>
      <c r="GW541" s="133"/>
      <c r="GX541" s="133"/>
      <c r="GY541" s="133"/>
      <c r="GZ541" s="133"/>
      <c r="HA541" s="133"/>
      <c r="HB541" s="133"/>
      <c r="HC541" s="133"/>
      <c r="HD541" s="133"/>
      <c r="HE541" s="133"/>
      <c r="HF541" s="133"/>
      <c r="HG541" s="133"/>
      <c r="HH541" s="133"/>
      <c r="HI541" s="133"/>
      <c r="HJ541" s="133"/>
      <c r="HK541" s="133"/>
      <c r="HL541" s="133"/>
      <c r="HM541" s="133"/>
      <c r="HN541" s="133"/>
      <c r="HO541" s="133"/>
      <c r="HP541" s="133"/>
      <c r="HQ541" s="133"/>
      <c r="HR541" s="133"/>
      <c r="HS541" s="133"/>
      <c r="HT541" s="133"/>
      <c r="HU541" s="133"/>
      <c r="HV541" s="133"/>
      <c r="HW541" s="133"/>
      <c r="HX541" s="133"/>
      <c r="HY541" s="133"/>
      <c r="HZ541" s="133"/>
      <c r="IA541" s="133"/>
      <c r="IB541" s="133"/>
      <c r="IC541" s="133"/>
      <c r="ID541" s="133"/>
      <c r="IE541" s="133"/>
      <c r="IF541" s="133"/>
      <c r="IG541" s="133"/>
      <c r="IH541" s="133"/>
      <c r="II541" s="133"/>
      <c r="IJ541" s="133"/>
      <c r="IK541" s="133"/>
      <c r="IL541" s="133"/>
      <c r="IM541" s="133"/>
      <c r="IN541" s="133"/>
      <c r="IO541" s="133"/>
      <c r="IP541" s="133"/>
      <c r="IQ541" s="133"/>
      <c r="IR541" s="133"/>
      <c r="IS541" s="133"/>
      <c r="IT541" s="133"/>
      <c r="IU541" s="133"/>
      <c r="IV541" s="133"/>
    </row>
    <row r="542" spans="1:256" s="132" customFormat="1" ht="13.8">
      <c r="A542" s="133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GE542" s="133"/>
      <c r="GF542" s="133"/>
      <c r="GG542" s="133"/>
      <c r="GH542" s="133"/>
      <c r="GI542" s="133"/>
      <c r="GJ542" s="133"/>
      <c r="GK542" s="133"/>
      <c r="GL542" s="133"/>
      <c r="GM542" s="133"/>
      <c r="GN542" s="133"/>
      <c r="GO542" s="133"/>
      <c r="GP542" s="133"/>
      <c r="GQ542" s="133"/>
      <c r="GR542" s="133"/>
      <c r="GS542" s="133"/>
      <c r="GT542" s="133"/>
      <c r="GU542" s="133"/>
      <c r="GV542" s="133"/>
      <c r="GW542" s="133"/>
      <c r="GX542" s="133"/>
      <c r="GY542" s="133"/>
      <c r="GZ542" s="133"/>
      <c r="HA542" s="133"/>
      <c r="HB542" s="133"/>
      <c r="HC542" s="133"/>
      <c r="HD542" s="133"/>
      <c r="HE542" s="133"/>
      <c r="HF542" s="133"/>
      <c r="HG542" s="133"/>
      <c r="HH542" s="133"/>
      <c r="HI542" s="133"/>
      <c r="HJ542" s="133"/>
      <c r="HK542" s="133"/>
      <c r="HL542" s="133"/>
      <c r="HM542" s="133"/>
      <c r="HN542" s="133"/>
      <c r="HO542" s="133"/>
      <c r="HP542" s="133"/>
      <c r="HQ542" s="133"/>
      <c r="HR542" s="133"/>
      <c r="HS542" s="133"/>
      <c r="HT542" s="133"/>
      <c r="HU542" s="133"/>
      <c r="HV542" s="133"/>
      <c r="HW542" s="133"/>
      <c r="HX542" s="133"/>
      <c r="HY542" s="133"/>
      <c r="HZ542" s="133"/>
      <c r="IA542" s="133"/>
      <c r="IB542" s="133"/>
      <c r="IC542" s="133"/>
      <c r="ID542" s="133"/>
      <c r="IE542" s="133"/>
      <c r="IF542" s="133"/>
      <c r="IG542" s="133"/>
      <c r="IH542" s="133"/>
      <c r="II542" s="133"/>
      <c r="IJ542" s="133"/>
      <c r="IK542" s="133"/>
      <c r="IL542" s="133"/>
      <c r="IM542" s="133"/>
      <c r="IN542" s="133"/>
      <c r="IO542" s="133"/>
      <c r="IP542" s="133"/>
      <c r="IQ542" s="133"/>
      <c r="IR542" s="133"/>
      <c r="IS542" s="133"/>
      <c r="IT542" s="133"/>
      <c r="IU542" s="133"/>
      <c r="IV542" s="133"/>
    </row>
    <row r="543" spans="1:256" s="132" customFormat="1" ht="13.8">
      <c r="A543" s="133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GE543" s="133"/>
      <c r="GF543" s="133"/>
      <c r="GG543" s="133"/>
      <c r="GH543" s="133"/>
      <c r="GI543" s="133"/>
      <c r="GJ543" s="133"/>
      <c r="GK543" s="133"/>
      <c r="GL543" s="133"/>
      <c r="GM543" s="133"/>
      <c r="GN543" s="133"/>
      <c r="GO543" s="133"/>
      <c r="GP543" s="133"/>
      <c r="GQ543" s="133"/>
      <c r="GR543" s="133"/>
      <c r="GS543" s="133"/>
      <c r="GT543" s="133"/>
      <c r="GU543" s="133"/>
      <c r="GV543" s="133"/>
      <c r="GW543" s="133"/>
      <c r="GX543" s="133"/>
      <c r="GY543" s="133"/>
      <c r="GZ543" s="133"/>
      <c r="HA543" s="133"/>
      <c r="HB543" s="133"/>
      <c r="HC543" s="133"/>
      <c r="HD543" s="133"/>
      <c r="HE543" s="133"/>
      <c r="HF543" s="133"/>
      <c r="HG543" s="133"/>
      <c r="HH543" s="133"/>
      <c r="HI543" s="133"/>
      <c r="HJ543" s="133"/>
      <c r="HK543" s="133"/>
      <c r="HL543" s="133"/>
      <c r="HM543" s="133"/>
      <c r="HN543" s="133"/>
      <c r="HO543" s="133"/>
      <c r="HP543" s="133"/>
      <c r="HQ543" s="133"/>
      <c r="HR543" s="133"/>
      <c r="HS543" s="133"/>
      <c r="HT543" s="133"/>
      <c r="HU543" s="133"/>
      <c r="HV543" s="133"/>
      <c r="HW543" s="133"/>
      <c r="HX543" s="133"/>
      <c r="HY543" s="133"/>
      <c r="HZ543" s="133"/>
      <c r="IA543" s="133"/>
      <c r="IB543" s="133"/>
      <c r="IC543" s="133"/>
      <c r="ID543" s="133"/>
      <c r="IE543" s="133"/>
      <c r="IF543" s="133"/>
      <c r="IG543" s="133"/>
      <c r="IH543" s="133"/>
      <c r="II543" s="133"/>
      <c r="IJ543" s="133"/>
      <c r="IK543" s="133"/>
      <c r="IL543" s="133"/>
      <c r="IM543" s="133"/>
      <c r="IN543" s="133"/>
      <c r="IO543" s="133"/>
      <c r="IP543" s="133"/>
      <c r="IQ543" s="133"/>
      <c r="IR543" s="133"/>
      <c r="IS543" s="133"/>
      <c r="IT543" s="133"/>
      <c r="IU543" s="133"/>
      <c r="IV543" s="133"/>
    </row>
    <row r="544" spans="1:256" s="132" customFormat="1" ht="13.8">
      <c r="A544" s="133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GE544" s="133"/>
      <c r="GF544" s="133"/>
      <c r="GG544" s="133"/>
      <c r="GH544" s="133"/>
      <c r="GI544" s="133"/>
      <c r="GJ544" s="133"/>
      <c r="GK544" s="133"/>
      <c r="GL544" s="133"/>
      <c r="GM544" s="133"/>
      <c r="GN544" s="133"/>
      <c r="GO544" s="133"/>
      <c r="GP544" s="133"/>
      <c r="GQ544" s="133"/>
      <c r="GR544" s="133"/>
      <c r="GS544" s="133"/>
      <c r="GT544" s="133"/>
      <c r="GU544" s="133"/>
      <c r="GV544" s="133"/>
      <c r="GW544" s="133"/>
      <c r="GX544" s="133"/>
      <c r="GY544" s="133"/>
      <c r="GZ544" s="133"/>
      <c r="HA544" s="133"/>
      <c r="HB544" s="133"/>
      <c r="HC544" s="133"/>
      <c r="HD544" s="133"/>
      <c r="HE544" s="133"/>
      <c r="HF544" s="133"/>
      <c r="HG544" s="133"/>
      <c r="HH544" s="133"/>
      <c r="HI544" s="133"/>
      <c r="HJ544" s="133"/>
      <c r="HK544" s="133"/>
      <c r="HL544" s="133"/>
      <c r="HM544" s="133"/>
      <c r="HN544" s="133"/>
      <c r="HO544" s="133"/>
      <c r="HP544" s="133"/>
      <c r="HQ544" s="133"/>
      <c r="HR544" s="133"/>
      <c r="HS544" s="133"/>
      <c r="HT544" s="133"/>
      <c r="HU544" s="133"/>
      <c r="HV544" s="133"/>
      <c r="HW544" s="133"/>
      <c r="HX544" s="133"/>
      <c r="HY544" s="133"/>
      <c r="HZ544" s="133"/>
      <c r="IA544" s="133"/>
      <c r="IB544" s="133"/>
      <c r="IC544" s="133"/>
      <c r="ID544" s="133"/>
      <c r="IE544" s="133"/>
      <c r="IF544" s="133"/>
      <c r="IG544" s="133"/>
      <c r="IH544" s="133"/>
      <c r="II544" s="133"/>
      <c r="IJ544" s="133"/>
      <c r="IK544" s="133"/>
      <c r="IL544" s="133"/>
      <c r="IM544" s="133"/>
      <c r="IN544" s="133"/>
      <c r="IO544" s="133"/>
      <c r="IP544" s="133"/>
      <c r="IQ544" s="133"/>
      <c r="IR544" s="133"/>
      <c r="IS544" s="133"/>
      <c r="IT544" s="133"/>
      <c r="IU544" s="133"/>
      <c r="IV544" s="133"/>
    </row>
    <row r="545" spans="1:256" s="132" customFormat="1" ht="13.8">
      <c r="A545" s="133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GE545" s="133"/>
      <c r="GF545" s="133"/>
      <c r="GG545" s="133"/>
      <c r="GH545" s="133"/>
      <c r="GI545" s="133"/>
      <c r="GJ545" s="133"/>
      <c r="GK545" s="133"/>
      <c r="GL545" s="133"/>
      <c r="GM545" s="133"/>
      <c r="GN545" s="133"/>
      <c r="GO545" s="133"/>
      <c r="GP545" s="133"/>
      <c r="GQ545" s="133"/>
      <c r="GR545" s="133"/>
      <c r="GS545" s="133"/>
      <c r="GT545" s="133"/>
      <c r="GU545" s="133"/>
      <c r="GV545" s="133"/>
      <c r="GW545" s="133"/>
      <c r="GX545" s="133"/>
      <c r="GY545" s="133"/>
      <c r="GZ545" s="133"/>
      <c r="HA545" s="133"/>
      <c r="HB545" s="133"/>
      <c r="HC545" s="133"/>
      <c r="HD545" s="133"/>
      <c r="HE545" s="133"/>
      <c r="HF545" s="133"/>
      <c r="HG545" s="133"/>
      <c r="HH545" s="133"/>
      <c r="HI545" s="133"/>
      <c r="HJ545" s="133"/>
      <c r="HK545" s="133"/>
      <c r="HL545" s="133"/>
      <c r="HM545" s="133"/>
      <c r="HN545" s="133"/>
      <c r="HO545" s="133"/>
      <c r="HP545" s="133"/>
      <c r="HQ545" s="133"/>
      <c r="HR545" s="133"/>
      <c r="HS545" s="133"/>
      <c r="HT545" s="133"/>
      <c r="HU545" s="133"/>
      <c r="HV545" s="133"/>
      <c r="HW545" s="133"/>
      <c r="HX545" s="133"/>
      <c r="HY545" s="133"/>
      <c r="HZ545" s="133"/>
      <c r="IA545" s="133"/>
      <c r="IB545" s="133"/>
      <c r="IC545" s="133"/>
      <c r="ID545" s="133"/>
      <c r="IE545" s="133"/>
      <c r="IF545" s="133"/>
      <c r="IG545" s="133"/>
      <c r="IH545" s="133"/>
      <c r="II545" s="133"/>
      <c r="IJ545" s="133"/>
      <c r="IK545" s="133"/>
      <c r="IL545" s="133"/>
      <c r="IM545" s="133"/>
      <c r="IN545" s="133"/>
      <c r="IO545" s="133"/>
      <c r="IP545" s="133"/>
      <c r="IQ545" s="133"/>
      <c r="IR545" s="133"/>
      <c r="IS545" s="133"/>
      <c r="IT545" s="133"/>
      <c r="IU545" s="133"/>
      <c r="IV545" s="133"/>
    </row>
    <row r="546" spans="1:256" s="132" customFormat="1" ht="13.8">
      <c r="A546" s="133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GE546" s="133"/>
      <c r="GF546" s="133"/>
      <c r="GG546" s="133"/>
      <c r="GH546" s="133"/>
      <c r="GI546" s="133"/>
      <c r="GJ546" s="133"/>
      <c r="GK546" s="133"/>
      <c r="GL546" s="133"/>
      <c r="GM546" s="133"/>
      <c r="GN546" s="133"/>
      <c r="GO546" s="133"/>
      <c r="GP546" s="133"/>
      <c r="GQ546" s="133"/>
      <c r="GR546" s="133"/>
      <c r="GS546" s="133"/>
      <c r="GT546" s="133"/>
      <c r="GU546" s="133"/>
      <c r="GV546" s="133"/>
      <c r="GW546" s="133"/>
      <c r="GX546" s="133"/>
      <c r="GY546" s="133"/>
      <c r="GZ546" s="133"/>
      <c r="HA546" s="133"/>
      <c r="HB546" s="133"/>
      <c r="HC546" s="133"/>
      <c r="HD546" s="133"/>
      <c r="HE546" s="133"/>
      <c r="HF546" s="133"/>
      <c r="HG546" s="133"/>
      <c r="HH546" s="133"/>
      <c r="HI546" s="133"/>
      <c r="HJ546" s="133"/>
      <c r="HK546" s="133"/>
      <c r="HL546" s="133"/>
      <c r="HM546" s="133"/>
      <c r="HN546" s="133"/>
      <c r="HO546" s="133"/>
      <c r="HP546" s="133"/>
      <c r="HQ546" s="133"/>
      <c r="HR546" s="133"/>
      <c r="HS546" s="133"/>
      <c r="HT546" s="133"/>
      <c r="HU546" s="133"/>
      <c r="HV546" s="133"/>
      <c r="HW546" s="133"/>
      <c r="HX546" s="133"/>
      <c r="HY546" s="133"/>
      <c r="HZ546" s="133"/>
      <c r="IA546" s="133"/>
      <c r="IB546" s="133"/>
      <c r="IC546" s="133"/>
      <c r="ID546" s="133"/>
      <c r="IE546" s="133"/>
      <c r="IF546" s="133"/>
      <c r="IG546" s="133"/>
      <c r="IH546" s="133"/>
      <c r="II546" s="133"/>
      <c r="IJ546" s="133"/>
      <c r="IK546" s="133"/>
      <c r="IL546" s="133"/>
      <c r="IM546" s="133"/>
      <c r="IN546" s="133"/>
      <c r="IO546" s="133"/>
      <c r="IP546" s="133"/>
      <c r="IQ546" s="133"/>
      <c r="IR546" s="133"/>
      <c r="IS546" s="133"/>
      <c r="IT546" s="133"/>
      <c r="IU546" s="133"/>
      <c r="IV546" s="133"/>
    </row>
    <row r="547" spans="1:256" s="132" customFormat="1" ht="13.8">
      <c r="A547" s="133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GE547" s="133"/>
      <c r="GF547" s="133"/>
      <c r="GG547" s="133"/>
      <c r="GH547" s="133"/>
      <c r="GI547" s="133"/>
      <c r="GJ547" s="133"/>
      <c r="GK547" s="133"/>
      <c r="GL547" s="133"/>
      <c r="GM547" s="133"/>
      <c r="GN547" s="133"/>
      <c r="GO547" s="133"/>
      <c r="GP547" s="133"/>
      <c r="GQ547" s="133"/>
      <c r="GR547" s="133"/>
      <c r="GS547" s="133"/>
      <c r="GT547" s="133"/>
      <c r="GU547" s="133"/>
      <c r="GV547" s="133"/>
      <c r="GW547" s="133"/>
      <c r="GX547" s="133"/>
      <c r="GY547" s="133"/>
      <c r="GZ547" s="133"/>
      <c r="HA547" s="133"/>
      <c r="HB547" s="133"/>
      <c r="HC547" s="133"/>
      <c r="HD547" s="133"/>
      <c r="HE547" s="133"/>
      <c r="HF547" s="133"/>
      <c r="HG547" s="133"/>
      <c r="HH547" s="133"/>
      <c r="HI547" s="133"/>
      <c r="HJ547" s="133"/>
      <c r="HK547" s="133"/>
      <c r="HL547" s="133"/>
      <c r="HM547" s="133"/>
      <c r="HN547" s="133"/>
      <c r="HO547" s="133"/>
      <c r="HP547" s="133"/>
      <c r="HQ547" s="133"/>
      <c r="HR547" s="133"/>
      <c r="HS547" s="133"/>
      <c r="HT547" s="133"/>
      <c r="HU547" s="133"/>
      <c r="HV547" s="133"/>
      <c r="HW547" s="133"/>
      <c r="HX547" s="133"/>
      <c r="HY547" s="133"/>
      <c r="HZ547" s="133"/>
      <c r="IA547" s="133"/>
      <c r="IB547" s="133"/>
      <c r="IC547" s="133"/>
      <c r="ID547" s="133"/>
      <c r="IE547" s="133"/>
      <c r="IF547" s="133"/>
      <c r="IG547" s="133"/>
      <c r="IH547" s="133"/>
      <c r="II547" s="133"/>
      <c r="IJ547" s="133"/>
      <c r="IK547" s="133"/>
      <c r="IL547" s="133"/>
      <c r="IM547" s="133"/>
      <c r="IN547" s="133"/>
      <c r="IO547" s="133"/>
      <c r="IP547" s="133"/>
      <c r="IQ547" s="133"/>
      <c r="IR547" s="133"/>
      <c r="IS547" s="133"/>
      <c r="IT547" s="133"/>
      <c r="IU547" s="133"/>
      <c r="IV547" s="133"/>
    </row>
    <row r="548" spans="1:256" s="132" customFormat="1" ht="13.8">
      <c r="A548" s="133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GE548" s="133"/>
      <c r="GF548" s="133"/>
      <c r="GG548" s="133"/>
      <c r="GH548" s="133"/>
      <c r="GI548" s="133"/>
      <c r="GJ548" s="133"/>
      <c r="GK548" s="133"/>
      <c r="GL548" s="133"/>
      <c r="GM548" s="133"/>
      <c r="GN548" s="133"/>
      <c r="GO548" s="133"/>
      <c r="GP548" s="133"/>
      <c r="GQ548" s="133"/>
      <c r="GR548" s="133"/>
      <c r="GS548" s="133"/>
      <c r="GT548" s="133"/>
      <c r="GU548" s="133"/>
      <c r="GV548" s="133"/>
      <c r="GW548" s="133"/>
      <c r="GX548" s="133"/>
      <c r="GY548" s="133"/>
      <c r="GZ548" s="133"/>
      <c r="HA548" s="133"/>
      <c r="HB548" s="133"/>
      <c r="HC548" s="133"/>
      <c r="HD548" s="133"/>
      <c r="HE548" s="133"/>
      <c r="HF548" s="133"/>
      <c r="HG548" s="133"/>
      <c r="HH548" s="133"/>
      <c r="HI548" s="133"/>
      <c r="HJ548" s="133"/>
      <c r="HK548" s="133"/>
      <c r="HL548" s="133"/>
      <c r="HM548" s="133"/>
      <c r="HN548" s="133"/>
      <c r="HO548" s="133"/>
      <c r="HP548" s="133"/>
      <c r="HQ548" s="133"/>
      <c r="HR548" s="133"/>
      <c r="HS548" s="133"/>
      <c r="HT548" s="133"/>
      <c r="HU548" s="133"/>
      <c r="HV548" s="133"/>
      <c r="HW548" s="133"/>
      <c r="HX548" s="133"/>
      <c r="HY548" s="133"/>
      <c r="HZ548" s="133"/>
      <c r="IA548" s="133"/>
      <c r="IB548" s="133"/>
      <c r="IC548" s="133"/>
      <c r="ID548" s="133"/>
      <c r="IE548" s="133"/>
      <c r="IF548" s="133"/>
      <c r="IG548" s="133"/>
      <c r="IH548" s="133"/>
      <c r="II548" s="133"/>
      <c r="IJ548" s="133"/>
      <c r="IK548" s="133"/>
      <c r="IL548" s="133"/>
      <c r="IM548" s="133"/>
      <c r="IN548" s="133"/>
      <c r="IO548" s="133"/>
      <c r="IP548" s="133"/>
      <c r="IQ548" s="133"/>
      <c r="IR548" s="133"/>
      <c r="IS548" s="133"/>
      <c r="IT548" s="133"/>
      <c r="IU548" s="133"/>
      <c r="IV548" s="133"/>
    </row>
    <row r="549" spans="1:256" s="132" customFormat="1" ht="13.8">
      <c r="A549" s="133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GE549" s="133"/>
      <c r="GF549" s="133"/>
      <c r="GG549" s="133"/>
      <c r="GH549" s="133"/>
      <c r="GI549" s="133"/>
      <c r="GJ549" s="133"/>
      <c r="GK549" s="133"/>
      <c r="GL549" s="133"/>
      <c r="GM549" s="133"/>
      <c r="GN549" s="133"/>
      <c r="GO549" s="133"/>
      <c r="GP549" s="133"/>
      <c r="GQ549" s="133"/>
      <c r="GR549" s="133"/>
      <c r="GS549" s="133"/>
      <c r="GT549" s="133"/>
      <c r="GU549" s="133"/>
      <c r="GV549" s="133"/>
      <c r="GW549" s="133"/>
      <c r="GX549" s="133"/>
      <c r="GY549" s="133"/>
      <c r="GZ549" s="133"/>
      <c r="HA549" s="133"/>
      <c r="HB549" s="133"/>
      <c r="HC549" s="133"/>
      <c r="HD549" s="133"/>
      <c r="HE549" s="133"/>
      <c r="HF549" s="133"/>
      <c r="HG549" s="133"/>
      <c r="HH549" s="133"/>
      <c r="HI549" s="133"/>
      <c r="HJ549" s="133"/>
      <c r="HK549" s="133"/>
      <c r="HL549" s="133"/>
      <c r="HM549" s="133"/>
      <c r="HN549" s="133"/>
      <c r="HO549" s="133"/>
      <c r="HP549" s="133"/>
      <c r="HQ549" s="133"/>
      <c r="HR549" s="133"/>
      <c r="HS549" s="133"/>
      <c r="HT549" s="133"/>
      <c r="HU549" s="133"/>
      <c r="HV549" s="133"/>
      <c r="HW549" s="133"/>
      <c r="HX549" s="133"/>
      <c r="HY549" s="133"/>
      <c r="HZ549" s="133"/>
      <c r="IA549" s="133"/>
      <c r="IB549" s="133"/>
      <c r="IC549" s="133"/>
      <c r="ID549" s="133"/>
      <c r="IE549" s="133"/>
      <c r="IF549" s="133"/>
      <c r="IG549" s="133"/>
      <c r="IH549" s="133"/>
      <c r="II549" s="133"/>
      <c r="IJ549" s="133"/>
      <c r="IK549" s="133"/>
      <c r="IL549" s="133"/>
      <c r="IM549" s="133"/>
      <c r="IN549" s="133"/>
      <c r="IO549" s="133"/>
      <c r="IP549" s="133"/>
      <c r="IQ549" s="133"/>
      <c r="IR549" s="133"/>
      <c r="IS549" s="133"/>
      <c r="IT549" s="133"/>
      <c r="IU549" s="133"/>
      <c r="IV549" s="133"/>
    </row>
    <row r="550" spans="1:256" s="132" customFormat="1" ht="13.8">
      <c r="A550" s="133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GE550" s="133"/>
      <c r="GF550" s="133"/>
      <c r="GG550" s="133"/>
      <c r="GH550" s="133"/>
      <c r="GI550" s="133"/>
      <c r="GJ550" s="133"/>
      <c r="GK550" s="133"/>
      <c r="GL550" s="133"/>
      <c r="GM550" s="133"/>
      <c r="GN550" s="133"/>
      <c r="GO550" s="133"/>
      <c r="GP550" s="133"/>
      <c r="GQ550" s="133"/>
      <c r="GR550" s="133"/>
      <c r="GS550" s="133"/>
      <c r="GT550" s="133"/>
      <c r="GU550" s="133"/>
      <c r="GV550" s="133"/>
      <c r="GW550" s="133"/>
      <c r="GX550" s="133"/>
      <c r="GY550" s="133"/>
      <c r="GZ550" s="133"/>
      <c r="HA550" s="133"/>
      <c r="HB550" s="133"/>
      <c r="HC550" s="133"/>
      <c r="HD550" s="133"/>
      <c r="HE550" s="133"/>
      <c r="HF550" s="133"/>
      <c r="HG550" s="133"/>
      <c r="HH550" s="133"/>
      <c r="HI550" s="133"/>
      <c r="HJ550" s="133"/>
      <c r="HK550" s="133"/>
      <c r="HL550" s="133"/>
      <c r="HM550" s="133"/>
      <c r="HN550" s="133"/>
      <c r="HO550" s="133"/>
      <c r="HP550" s="133"/>
      <c r="HQ550" s="133"/>
      <c r="HR550" s="133"/>
      <c r="HS550" s="133"/>
      <c r="HT550" s="133"/>
      <c r="HU550" s="133"/>
      <c r="HV550" s="133"/>
      <c r="HW550" s="133"/>
      <c r="HX550" s="133"/>
      <c r="HY550" s="133"/>
      <c r="HZ550" s="133"/>
      <c r="IA550" s="133"/>
      <c r="IB550" s="133"/>
      <c r="IC550" s="133"/>
      <c r="ID550" s="133"/>
      <c r="IE550" s="133"/>
      <c r="IF550" s="133"/>
      <c r="IG550" s="133"/>
      <c r="IH550" s="133"/>
      <c r="II550" s="133"/>
      <c r="IJ550" s="133"/>
      <c r="IK550" s="133"/>
      <c r="IL550" s="133"/>
      <c r="IM550" s="133"/>
      <c r="IN550" s="133"/>
      <c r="IO550" s="133"/>
      <c r="IP550" s="133"/>
      <c r="IQ550" s="133"/>
      <c r="IR550" s="133"/>
      <c r="IS550" s="133"/>
      <c r="IT550" s="133"/>
      <c r="IU550" s="133"/>
      <c r="IV550" s="133"/>
    </row>
    <row r="551" spans="1:256" s="132" customFormat="1" ht="13.8">
      <c r="A551" s="133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GE551" s="133"/>
      <c r="GF551" s="133"/>
      <c r="GG551" s="133"/>
      <c r="GH551" s="133"/>
      <c r="GI551" s="133"/>
      <c r="GJ551" s="133"/>
      <c r="GK551" s="133"/>
      <c r="GL551" s="133"/>
      <c r="GM551" s="133"/>
      <c r="GN551" s="133"/>
      <c r="GO551" s="133"/>
      <c r="GP551" s="133"/>
      <c r="GQ551" s="133"/>
      <c r="GR551" s="133"/>
      <c r="GS551" s="133"/>
      <c r="GT551" s="133"/>
      <c r="GU551" s="133"/>
      <c r="GV551" s="133"/>
      <c r="GW551" s="133"/>
      <c r="GX551" s="133"/>
      <c r="GY551" s="133"/>
      <c r="GZ551" s="133"/>
      <c r="HA551" s="133"/>
      <c r="HB551" s="133"/>
      <c r="HC551" s="133"/>
      <c r="HD551" s="133"/>
      <c r="HE551" s="133"/>
      <c r="HF551" s="133"/>
      <c r="HG551" s="133"/>
      <c r="HH551" s="133"/>
      <c r="HI551" s="133"/>
      <c r="HJ551" s="133"/>
      <c r="HK551" s="133"/>
      <c r="HL551" s="133"/>
      <c r="HM551" s="133"/>
      <c r="HN551" s="133"/>
      <c r="HO551" s="133"/>
      <c r="HP551" s="133"/>
      <c r="HQ551" s="133"/>
      <c r="HR551" s="133"/>
      <c r="HS551" s="133"/>
      <c r="HT551" s="133"/>
      <c r="HU551" s="133"/>
      <c r="HV551" s="133"/>
      <c r="HW551" s="133"/>
      <c r="HX551" s="133"/>
      <c r="HY551" s="133"/>
      <c r="HZ551" s="133"/>
      <c r="IA551" s="133"/>
      <c r="IB551" s="133"/>
      <c r="IC551" s="133"/>
      <c r="ID551" s="133"/>
      <c r="IE551" s="133"/>
      <c r="IF551" s="133"/>
      <c r="IG551" s="133"/>
      <c r="IH551" s="133"/>
      <c r="II551" s="133"/>
      <c r="IJ551" s="133"/>
      <c r="IK551" s="133"/>
      <c r="IL551" s="133"/>
      <c r="IM551" s="133"/>
      <c r="IN551" s="133"/>
      <c r="IO551" s="133"/>
      <c r="IP551" s="133"/>
      <c r="IQ551" s="133"/>
      <c r="IR551" s="133"/>
      <c r="IS551" s="133"/>
      <c r="IT551" s="133"/>
      <c r="IU551" s="133"/>
      <c r="IV551" s="133"/>
    </row>
    <row r="552" spans="1:256" s="132" customFormat="1" ht="13.8">
      <c r="A552" s="133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GE552" s="133"/>
      <c r="GF552" s="133"/>
      <c r="GG552" s="133"/>
      <c r="GH552" s="133"/>
      <c r="GI552" s="133"/>
      <c r="GJ552" s="133"/>
      <c r="GK552" s="133"/>
      <c r="GL552" s="133"/>
      <c r="GM552" s="133"/>
      <c r="GN552" s="133"/>
      <c r="GO552" s="133"/>
      <c r="GP552" s="133"/>
      <c r="GQ552" s="133"/>
      <c r="GR552" s="133"/>
      <c r="GS552" s="133"/>
      <c r="GT552" s="133"/>
      <c r="GU552" s="133"/>
      <c r="GV552" s="133"/>
      <c r="GW552" s="133"/>
      <c r="GX552" s="133"/>
      <c r="GY552" s="133"/>
      <c r="GZ552" s="133"/>
      <c r="HA552" s="133"/>
      <c r="HB552" s="133"/>
      <c r="HC552" s="133"/>
      <c r="HD552" s="133"/>
      <c r="HE552" s="133"/>
      <c r="HF552" s="133"/>
      <c r="HG552" s="133"/>
      <c r="HH552" s="133"/>
      <c r="HI552" s="133"/>
      <c r="HJ552" s="133"/>
      <c r="HK552" s="133"/>
      <c r="HL552" s="133"/>
      <c r="HM552" s="133"/>
      <c r="HN552" s="133"/>
      <c r="HO552" s="133"/>
      <c r="HP552" s="133"/>
      <c r="HQ552" s="133"/>
      <c r="HR552" s="133"/>
      <c r="HS552" s="133"/>
      <c r="HT552" s="133"/>
      <c r="HU552" s="133"/>
      <c r="HV552" s="133"/>
      <c r="HW552" s="133"/>
      <c r="HX552" s="133"/>
      <c r="HY552" s="133"/>
      <c r="HZ552" s="133"/>
      <c r="IA552" s="133"/>
      <c r="IB552" s="133"/>
      <c r="IC552" s="133"/>
      <c r="ID552" s="133"/>
      <c r="IE552" s="133"/>
      <c r="IF552" s="133"/>
      <c r="IG552" s="133"/>
      <c r="IH552" s="133"/>
      <c r="II552" s="133"/>
      <c r="IJ552" s="133"/>
      <c r="IK552" s="133"/>
      <c r="IL552" s="133"/>
      <c r="IM552" s="133"/>
      <c r="IN552" s="133"/>
      <c r="IO552" s="133"/>
      <c r="IP552" s="133"/>
      <c r="IQ552" s="133"/>
      <c r="IR552" s="133"/>
      <c r="IS552" s="133"/>
      <c r="IT552" s="133"/>
      <c r="IU552" s="133"/>
      <c r="IV552" s="133"/>
    </row>
    <row r="553" spans="1:256" s="132" customFormat="1" ht="13.8">
      <c r="A553" s="133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GE553" s="133"/>
      <c r="GF553" s="133"/>
      <c r="GG553" s="133"/>
      <c r="GH553" s="133"/>
      <c r="GI553" s="133"/>
      <c r="GJ553" s="133"/>
      <c r="GK553" s="133"/>
      <c r="GL553" s="133"/>
      <c r="GM553" s="133"/>
      <c r="GN553" s="133"/>
      <c r="GO553" s="133"/>
      <c r="GP553" s="133"/>
      <c r="GQ553" s="133"/>
      <c r="GR553" s="133"/>
      <c r="GS553" s="133"/>
      <c r="GT553" s="133"/>
      <c r="GU553" s="133"/>
      <c r="GV553" s="133"/>
      <c r="GW553" s="133"/>
      <c r="GX553" s="133"/>
      <c r="GY553" s="133"/>
      <c r="GZ553" s="133"/>
      <c r="HA553" s="133"/>
      <c r="HB553" s="133"/>
      <c r="HC553" s="133"/>
      <c r="HD553" s="133"/>
      <c r="HE553" s="133"/>
      <c r="HF553" s="133"/>
      <c r="HG553" s="133"/>
      <c r="HH553" s="133"/>
      <c r="HI553" s="133"/>
      <c r="HJ553" s="133"/>
      <c r="HK553" s="133"/>
      <c r="HL553" s="133"/>
      <c r="HM553" s="133"/>
      <c r="HN553" s="133"/>
      <c r="HO553" s="133"/>
      <c r="HP553" s="133"/>
      <c r="HQ553" s="133"/>
      <c r="HR553" s="133"/>
      <c r="HS553" s="133"/>
      <c r="HT553" s="133"/>
      <c r="HU553" s="133"/>
      <c r="HV553" s="133"/>
      <c r="HW553" s="133"/>
      <c r="HX553" s="133"/>
      <c r="HY553" s="133"/>
      <c r="HZ553" s="133"/>
      <c r="IA553" s="133"/>
      <c r="IB553" s="133"/>
      <c r="IC553" s="133"/>
      <c r="ID553" s="133"/>
      <c r="IE553" s="133"/>
      <c r="IF553" s="133"/>
      <c r="IG553" s="133"/>
      <c r="IH553" s="133"/>
      <c r="II553" s="133"/>
      <c r="IJ553" s="133"/>
      <c r="IK553" s="133"/>
      <c r="IL553" s="133"/>
      <c r="IM553" s="133"/>
      <c r="IN553" s="133"/>
      <c r="IO553" s="133"/>
      <c r="IP553" s="133"/>
      <c r="IQ553" s="133"/>
      <c r="IR553" s="133"/>
      <c r="IS553" s="133"/>
      <c r="IT553" s="133"/>
      <c r="IU553" s="133"/>
      <c r="IV553" s="133"/>
    </row>
    <row r="554" spans="1:256" s="132" customFormat="1" ht="13.8">
      <c r="A554" s="133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GE554" s="133"/>
      <c r="GF554" s="133"/>
      <c r="GG554" s="133"/>
      <c r="GH554" s="133"/>
      <c r="GI554" s="133"/>
      <c r="GJ554" s="133"/>
      <c r="GK554" s="133"/>
      <c r="GL554" s="133"/>
      <c r="GM554" s="133"/>
      <c r="GN554" s="133"/>
      <c r="GO554" s="133"/>
      <c r="GP554" s="133"/>
      <c r="GQ554" s="133"/>
      <c r="GR554" s="133"/>
      <c r="GS554" s="133"/>
      <c r="GT554" s="133"/>
      <c r="GU554" s="133"/>
      <c r="GV554" s="133"/>
      <c r="GW554" s="133"/>
      <c r="GX554" s="133"/>
      <c r="GY554" s="133"/>
      <c r="GZ554" s="133"/>
      <c r="HA554" s="133"/>
      <c r="HB554" s="133"/>
      <c r="HC554" s="133"/>
      <c r="HD554" s="133"/>
      <c r="HE554" s="133"/>
      <c r="HF554" s="133"/>
      <c r="HG554" s="133"/>
      <c r="HH554" s="133"/>
      <c r="HI554" s="133"/>
      <c r="HJ554" s="133"/>
      <c r="HK554" s="133"/>
      <c r="HL554" s="133"/>
      <c r="HM554" s="133"/>
      <c r="HN554" s="133"/>
      <c r="HO554" s="133"/>
      <c r="HP554" s="133"/>
      <c r="HQ554" s="133"/>
      <c r="HR554" s="133"/>
      <c r="HS554" s="133"/>
      <c r="HT554" s="133"/>
      <c r="HU554" s="133"/>
      <c r="HV554" s="133"/>
      <c r="HW554" s="133"/>
      <c r="HX554" s="133"/>
      <c r="HY554" s="133"/>
      <c r="HZ554" s="133"/>
      <c r="IA554" s="133"/>
      <c r="IB554" s="133"/>
      <c r="IC554" s="133"/>
      <c r="ID554" s="133"/>
      <c r="IE554" s="133"/>
      <c r="IF554" s="133"/>
      <c r="IG554" s="133"/>
      <c r="IH554" s="133"/>
      <c r="II554" s="133"/>
      <c r="IJ554" s="133"/>
      <c r="IK554" s="133"/>
      <c r="IL554" s="133"/>
      <c r="IM554" s="133"/>
      <c r="IN554" s="133"/>
      <c r="IO554" s="133"/>
      <c r="IP554" s="133"/>
      <c r="IQ554" s="133"/>
      <c r="IR554" s="133"/>
      <c r="IS554" s="133"/>
      <c r="IT554" s="133"/>
      <c r="IU554" s="133"/>
      <c r="IV554" s="133"/>
    </row>
    <row r="555" spans="1:256" s="132" customFormat="1" ht="13.8">
      <c r="A555" s="133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GE555" s="133"/>
      <c r="GF555" s="133"/>
      <c r="GG555" s="133"/>
      <c r="GH555" s="133"/>
      <c r="GI555" s="133"/>
      <c r="GJ555" s="133"/>
      <c r="GK555" s="133"/>
      <c r="GL555" s="133"/>
      <c r="GM555" s="133"/>
      <c r="GN555" s="133"/>
      <c r="GO555" s="133"/>
      <c r="GP555" s="133"/>
      <c r="GQ555" s="133"/>
      <c r="GR555" s="133"/>
      <c r="GS555" s="133"/>
      <c r="GT555" s="133"/>
      <c r="GU555" s="133"/>
      <c r="GV555" s="133"/>
      <c r="GW555" s="133"/>
      <c r="GX555" s="133"/>
      <c r="GY555" s="133"/>
      <c r="GZ555" s="133"/>
      <c r="HA555" s="133"/>
      <c r="HB555" s="133"/>
      <c r="HC555" s="133"/>
      <c r="HD555" s="133"/>
      <c r="HE555" s="133"/>
      <c r="HF555" s="133"/>
      <c r="HG555" s="133"/>
      <c r="HH555" s="133"/>
      <c r="HI555" s="133"/>
      <c r="HJ555" s="133"/>
      <c r="HK555" s="133"/>
      <c r="HL555" s="133"/>
      <c r="HM555" s="133"/>
      <c r="HN555" s="133"/>
      <c r="HO555" s="133"/>
      <c r="HP555" s="133"/>
      <c r="HQ555" s="133"/>
      <c r="HR555" s="133"/>
      <c r="HS555" s="133"/>
      <c r="HT555" s="133"/>
      <c r="HU555" s="133"/>
      <c r="HV555" s="133"/>
      <c r="HW555" s="133"/>
      <c r="HX555" s="133"/>
      <c r="HY555" s="133"/>
      <c r="HZ555" s="133"/>
      <c r="IA555" s="133"/>
      <c r="IB555" s="133"/>
      <c r="IC555" s="133"/>
      <c r="ID555" s="133"/>
      <c r="IE555" s="133"/>
      <c r="IF555" s="133"/>
      <c r="IG555" s="133"/>
      <c r="IH555" s="133"/>
      <c r="II555" s="133"/>
      <c r="IJ555" s="133"/>
      <c r="IK555" s="133"/>
      <c r="IL555" s="133"/>
      <c r="IM555" s="133"/>
      <c r="IN555" s="133"/>
      <c r="IO555" s="133"/>
      <c r="IP555" s="133"/>
      <c r="IQ555" s="133"/>
      <c r="IR555" s="133"/>
      <c r="IS555" s="133"/>
      <c r="IT555" s="133"/>
      <c r="IU555" s="133"/>
      <c r="IV555" s="133"/>
    </row>
    <row r="556" spans="1:256" s="132" customFormat="1" ht="13.8">
      <c r="A556" s="133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GE556" s="133"/>
      <c r="GF556" s="133"/>
      <c r="GG556" s="133"/>
      <c r="GH556" s="133"/>
      <c r="GI556" s="133"/>
      <c r="GJ556" s="133"/>
      <c r="GK556" s="133"/>
      <c r="GL556" s="133"/>
      <c r="GM556" s="133"/>
      <c r="GN556" s="133"/>
      <c r="GO556" s="133"/>
      <c r="GP556" s="133"/>
      <c r="GQ556" s="133"/>
      <c r="GR556" s="133"/>
      <c r="GS556" s="133"/>
      <c r="GT556" s="133"/>
      <c r="GU556" s="133"/>
      <c r="GV556" s="133"/>
      <c r="GW556" s="133"/>
      <c r="GX556" s="133"/>
      <c r="GY556" s="133"/>
      <c r="GZ556" s="133"/>
      <c r="HA556" s="133"/>
      <c r="HB556" s="133"/>
      <c r="HC556" s="133"/>
      <c r="HD556" s="133"/>
      <c r="HE556" s="133"/>
      <c r="HF556" s="133"/>
      <c r="HG556" s="133"/>
      <c r="HH556" s="133"/>
      <c r="HI556" s="133"/>
      <c r="HJ556" s="133"/>
      <c r="HK556" s="133"/>
      <c r="HL556" s="133"/>
      <c r="HM556" s="133"/>
      <c r="HN556" s="133"/>
      <c r="HO556" s="133"/>
      <c r="HP556" s="133"/>
      <c r="HQ556" s="133"/>
      <c r="HR556" s="133"/>
      <c r="HS556" s="133"/>
      <c r="HT556" s="133"/>
      <c r="HU556" s="133"/>
      <c r="HV556" s="133"/>
      <c r="HW556" s="133"/>
      <c r="HX556" s="133"/>
      <c r="HY556" s="133"/>
      <c r="HZ556" s="133"/>
      <c r="IA556" s="133"/>
      <c r="IB556" s="133"/>
      <c r="IC556" s="133"/>
      <c r="ID556" s="133"/>
      <c r="IE556" s="133"/>
      <c r="IF556" s="133"/>
      <c r="IG556" s="133"/>
      <c r="IH556" s="133"/>
      <c r="II556" s="133"/>
      <c r="IJ556" s="133"/>
      <c r="IK556" s="133"/>
      <c r="IL556" s="133"/>
      <c r="IM556" s="133"/>
      <c r="IN556" s="133"/>
      <c r="IO556" s="133"/>
      <c r="IP556" s="133"/>
      <c r="IQ556" s="133"/>
      <c r="IR556" s="133"/>
      <c r="IS556" s="133"/>
      <c r="IT556" s="133"/>
      <c r="IU556" s="133"/>
      <c r="IV556" s="133"/>
    </row>
    <row r="557" spans="1:256" s="132" customFormat="1" ht="13.8">
      <c r="A557" s="133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GE557" s="133"/>
      <c r="GF557" s="133"/>
      <c r="GG557" s="133"/>
      <c r="GH557" s="133"/>
      <c r="GI557" s="133"/>
      <c r="GJ557" s="133"/>
      <c r="GK557" s="133"/>
      <c r="GL557" s="133"/>
      <c r="GM557" s="133"/>
      <c r="GN557" s="133"/>
      <c r="GO557" s="133"/>
      <c r="GP557" s="133"/>
      <c r="GQ557" s="133"/>
      <c r="GR557" s="133"/>
      <c r="GS557" s="133"/>
      <c r="GT557" s="133"/>
      <c r="GU557" s="133"/>
      <c r="GV557" s="133"/>
      <c r="GW557" s="133"/>
      <c r="GX557" s="133"/>
      <c r="GY557" s="133"/>
      <c r="GZ557" s="133"/>
      <c r="HA557" s="133"/>
      <c r="HB557" s="133"/>
      <c r="HC557" s="133"/>
      <c r="HD557" s="133"/>
      <c r="HE557" s="133"/>
      <c r="HF557" s="133"/>
      <c r="HG557" s="133"/>
      <c r="HH557" s="133"/>
      <c r="HI557" s="133"/>
      <c r="HJ557" s="133"/>
      <c r="HK557" s="133"/>
      <c r="HL557" s="133"/>
      <c r="HM557" s="133"/>
      <c r="HN557" s="133"/>
      <c r="HO557" s="133"/>
      <c r="HP557" s="133"/>
      <c r="HQ557" s="133"/>
      <c r="HR557" s="133"/>
      <c r="HS557" s="133"/>
      <c r="HT557" s="133"/>
      <c r="HU557" s="133"/>
      <c r="HV557" s="133"/>
      <c r="HW557" s="133"/>
      <c r="HX557" s="133"/>
      <c r="HY557" s="133"/>
      <c r="HZ557" s="133"/>
      <c r="IA557" s="133"/>
      <c r="IB557" s="133"/>
      <c r="IC557" s="133"/>
      <c r="ID557" s="133"/>
      <c r="IE557" s="133"/>
      <c r="IF557" s="133"/>
      <c r="IG557" s="133"/>
      <c r="IH557" s="133"/>
      <c r="II557" s="133"/>
      <c r="IJ557" s="133"/>
      <c r="IK557" s="133"/>
      <c r="IL557" s="133"/>
      <c r="IM557" s="133"/>
      <c r="IN557" s="133"/>
      <c r="IO557" s="133"/>
      <c r="IP557" s="133"/>
      <c r="IQ557" s="133"/>
      <c r="IR557" s="133"/>
      <c r="IS557" s="133"/>
      <c r="IT557" s="133"/>
      <c r="IU557" s="133"/>
      <c r="IV557" s="133"/>
    </row>
    <row r="558" spans="1:256" s="132" customFormat="1" ht="13.8">
      <c r="A558" s="133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GE558" s="133"/>
      <c r="GF558" s="133"/>
      <c r="GG558" s="133"/>
      <c r="GH558" s="133"/>
      <c r="GI558" s="133"/>
      <c r="GJ558" s="133"/>
      <c r="GK558" s="133"/>
      <c r="GL558" s="133"/>
      <c r="GM558" s="133"/>
      <c r="GN558" s="133"/>
      <c r="GO558" s="133"/>
      <c r="GP558" s="133"/>
      <c r="GQ558" s="133"/>
      <c r="GR558" s="133"/>
      <c r="GS558" s="133"/>
      <c r="GT558" s="133"/>
      <c r="GU558" s="133"/>
      <c r="GV558" s="133"/>
      <c r="GW558" s="133"/>
      <c r="GX558" s="133"/>
      <c r="GY558" s="133"/>
      <c r="GZ558" s="133"/>
      <c r="HA558" s="133"/>
      <c r="HB558" s="133"/>
      <c r="HC558" s="133"/>
      <c r="HD558" s="133"/>
      <c r="HE558" s="133"/>
      <c r="HF558" s="133"/>
      <c r="HG558" s="133"/>
      <c r="HH558" s="133"/>
      <c r="HI558" s="133"/>
      <c r="HJ558" s="133"/>
      <c r="HK558" s="133"/>
      <c r="HL558" s="133"/>
      <c r="HM558" s="133"/>
      <c r="HN558" s="133"/>
      <c r="HO558" s="133"/>
      <c r="HP558" s="133"/>
      <c r="HQ558" s="133"/>
      <c r="HR558" s="133"/>
      <c r="HS558" s="133"/>
      <c r="HT558" s="133"/>
      <c r="HU558" s="133"/>
      <c r="HV558" s="133"/>
      <c r="HW558" s="133"/>
      <c r="HX558" s="133"/>
      <c r="HY558" s="133"/>
      <c r="HZ558" s="133"/>
      <c r="IA558" s="133"/>
      <c r="IB558" s="133"/>
      <c r="IC558" s="133"/>
      <c r="ID558" s="133"/>
      <c r="IE558" s="133"/>
      <c r="IF558" s="133"/>
      <c r="IG558" s="133"/>
      <c r="IH558" s="133"/>
      <c r="II558" s="133"/>
      <c r="IJ558" s="133"/>
      <c r="IK558" s="133"/>
      <c r="IL558" s="133"/>
      <c r="IM558" s="133"/>
      <c r="IN558" s="133"/>
      <c r="IO558" s="133"/>
      <c r="IP558" s="133"/>
      <c r="IQ558" s="133"/>
      <c r="IR558" s="133"/>
      <c r="IS558" s="133"/>
      <c r="IT558" s="133"/>
      <c r="IU558" s="133"/>
      <c r="IV558" s="133"/>
    </row>
    <row r="559" spans="1:256" s="132" customFormat="1" ht="13.8">
      <c r="A559" s="133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GE559" s="133"/>
      <c r="GF559" s="133"/>
      <c r="GG559" s="133"/>
      <c r="GH559" s="133"/>
      <c r="GI559" s="133"/>
      <c r="GJ559" s="133"/>
      <c r="GK559" s="133"/>
      <c r="GL559" s="133"/>
      <c r="GM559" s="133"/>
      <c r="GN559" s="133"/>
      <c r="GO559" s="133"/>
      <c r="GP559" s="133"/>
      <c r="GQ559" s="133"/>
      <c r="GR559" s="133"/>
      <c r="GS559" s="133"/>
      <c r="GT559" s="133"/>
      <c r="GU559" s="133"/>
      <c r="GV559" s="133"/>
      <c r="GW559" s="133"/>
      <c r="GX559" s="133"/>
      <c r="GY559" s="133"/>
      <c r="GZ559" s="133"/>
      <c r="HA559" s="133"/>
      <c r="HB559" s="133"/>
      <c r="HC559" s="133"/>
      <c r="HD559" s="133"/>
      <c r="HE559" s="133"/>
      <c r="HF559" s="133"/>
      <c r="HG559" s="133"/>
      <c r="HH559" s="133"/>
      <c r="HI559" s="133"/>
      <c r="HJ559" s="133"/>
      <c r="HK559" s="133"/>
      <c r="HL559" s="133"/>
      <c r="HM559" s="133"/>
      <c r="HN559" s="133"/>
      <c r="HO559" s="133"/>
      <c r="HP559" s="133"/>
      <c r="HQ559" s="133"/>
      <c r="HR559" s="133"/>
      <c r="HS559" s="133"/>
      <c r="HT559" s="133"/>
      <c r="HU559" s="133"/>
      <c r="HV559" s="133"/>
      <c r="HW559" s="133"/>
      <c r="HX559" s="133"/>
      <c r="HY559" s="133"/>
      <c r="HZ559" s="133"/>
      <c r="IA559" s="133"/>
      <c r="IB559" s="133"/>
      <c r="IC559" s="133"/>
      <c r="ID559" s="133"/>
      <c r="IE559" s="133"/>
      <c r="IF559" s="133"/>
      <c r="IG559" s="133"/>
      <c r="IH559" s="133"/>
      <c r="II559" s="133"/>
      <c r="IJ559" s="133"/>
      <c r="IK559" s="133"/>
      <c r="IL559" s="133"/>
      <c r="IM559" s="133"/>
      <c r="IN559" s="133"/>
      <c r="IO559" s="133"/>
      <c r="IP559" s="133"/>
      <c r="IQ559" s="133"/>
      <c r="IR559" s="133"/>
      <c r="IS559" s="133"/>
      <c r="IT559" s="133"/>
      <c r="IU559" s="133"/>
      <c r="IV559" s="133"/>
    </row>
    <row r="560" spans="1:256" s="132" customFormat="1" ht="13.8">
      <c r="A560" s="133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GE560" s="133"/>
      <c r="GF560" s="133"/>
      <c r="GG560" s="133"/>
      <c r="GH560" s="133"/>
      <c r="GI560" s="133"/>
      <c r="GJ560" s="133"/>
      <c r="GK560" s="133"/>
      <c r="GL560" s="133"/>
      <c r="GM560" s="133"/>
      <c r="GN560" s="133"/>
      <c r="GO560" s="133"/>
      <c r="GP560" s="133"/>
      <c r="GQ560" s="133"/>
      <c r="GR560" s="133"/>
      <c r="GS560" s="133"/>
      <c r="GT560" s="133"/>
      <c r="GU560" s="133"/>
      <c r="GV560" s="133"/>
      <c r="GW560" s="133"/>
      <c r="GX560" s="133"/>
      <c r="GY560" s="133"/>
      <c r="GZ560" s="133"/>
      <c r="HA560" s="133"/>
      <c r="HB560" s="133"/>
      <c r="HC560" s="133"/>
      <c r="HD560" s="133"/>
      <c r="HE560" s="133"/>
      <c r="HF560" s="133"/>
      <c r="HG560" s="133"/>
      <c r="HH560" s="133"/>
      <c r="HI560" s="133"/>
      <c r="HJ560" s="133"/>
      <c r="HK560" s="133"/>
      <c r="HL560" s="133"/>
      <c r="HM560" s="133"/>
      <c r="HN560" s="133"/>
      <c r="HO560" s="133"/>
      <c r="HP560" s="133"/>
      <c r="HQ560" s="133"/>
      <c r="HR560" s="133"/>
      <c r="HS560" s="133"/>
      <c r="HT560" s="133"/>
      <c r="HU560" s="133"/>
      <c r="HV560" s="133"/>
      <c r="HW560" s="133"/>
      <c r="HX560" s="133"/>
      <c r="HY560" s="133"/>
      <c r="HZ560" s="133"/>
      <c r="IA560" s="133"/>
      <c r="IB560" s="133"/>
      <c r="IC560" s="133"/>
      <c r="ID560" s="133"/>
      <c r="IE560" s="133"/>
      <c r="IF560" s="133"/>
      <c r="IG560" s="133"/>
      <c r="IH560" s="133"/>
      <c r="II560" s="133"/>
      <c r="IJ560" s="133"/>
      <c r="IK560" s="133"/>
      <c r="IL560" s="133"/>
      <c r="IM560" s="133"/>
      <c r="IN560" s="133"/>
      <c r="IO560" s="133"/>
      <c r="IP560" s="133"/>
      <c r="IQ560" s="133"/>
      <c r="IR560" s="133"/>
      <c r="IS560" s="133"/>
      <c r="IT560" s="133"/>
      <c r="IU560" s="133"/>
      <c r="IV560" s="133"/>
    </row>
    <row r="561" spans="1:256" s="132" customFormat="1" ht="13.8">
      <c r="A561" s="133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GE561" s="133"/>
      <c r="GF561" s="133"/>
      <c r="GG561" s="133"/>
      <c r="GH561" s="133"/>
      <c r="GI561" s="133"/>
      <c r="GJ561" s="133"/>
      <c r="GK561" s="133"/>
      <c r="GL561" s="133"/>
      <c r="GM561" s="133"/>
      <c r="GN561" s="133"/>
      <c r="GO561" s="133"/>
      <c r="GP561" s="133"/>
      <c r="GQ561" s="133"/>
      <c r="GR561" s="133"/>
      <c r="GS561" s="133"/>
      <c r="GT561" s="133"/>
      <c r="GU561" s="133"/>
      <c r="GV561" s="133"/>
      <c r="GW561" s="133"/>
      <c r="GX561" s="133"/>
      <c r="GY561" s="133"/>
      <c r="GZ561" s="133"/>
      <c r="HA561" s="133"/>
      <c r="HB561" s="133"/>
      <c r="HC561" s="133"/>
      <c r="HD561" s="133"/>
      <c r="HE561" s="133"/>
      <c r="HF561" s="133"/>
      <c r="HG561" s="133"/>
      <c r="HH561" s="133"/>
      <c r="HI561" s="133"/>
      <c r="HJ561" s="133"/>
      <c r="HK561" s="133"/>
      <c r="HL561" s="133"/>
      <c r="HM561" s="133"/>
      <c r="HN561" s="133"/>
      <c r="HO561" s="133"/>
      <c r="HP561" s="133"/>
      <c r="HQ561" s="133"/>
      <c r="HR561" s="133"/>
      <c r="HS561" s="133"/>
      <c r="HT561" s="133"/>
      <c r="HU561" s="133"/>
      <c r="HV561" s="133"/>
      <c r="HW561" s="133"/>
      <c r="HX561" s="133"/>
      <c r="HY561" s="133"/>
      <c r="HZ561" s="133"/>
      <c r="IA561" s="133"/>
      <c r="IB561" s="133"/>
      <c r="IC561" s="133"/>
      <c r="ID561" s="133"/>
      <c r="IE561" s="133"/>
      <c r="IF561" s="133"/>
      <c r="IG561" s="133"/>
      <c r="IH561" s="133"/>
      <c r="II561" s="133"/>
      <c r="IJ561" s="133"/>
      <c r="IK561" s="133"/>
      <c r="IL561" s="133"/>
      <c r="IM561" s="133"/>
      <c r="IN561" s="133"/>
      <c r="IO561" s="133"/>
      <c r="IP561" s="133"/>
      <c r="IQ561" s="133"/>
      <c r="IR561" s="133"/>
      <c r="IS561" s="133"/>
      <c r="IT561" s="133"/>
      <c r="IU561" s="133"/>
      <c r="IV561" s="133"/>
    </row>
    <row r="562" spans="1:256" s="132" customFormat="1" ht="13.8">
      <c r="A562" s="133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GE562" s="133"/>
      <c r="GF562" s="133"/>
      <c r="GG562" s="133"/>
      <c r="GH562" s="133"/>
      <c r="GI562" s="133"/>
      <c r="GJ562" s="133"/>
      <c r="GK562" s="133"/>
      <c r="GL562" s="133"/>
      <c r="GM562" s="133"/>
      <c r="GN562" s="133"/>
      <c r="GO562" s="133"/>
      <c r="GP562" s="133"/>
      <c r="GQ562" s="133"/>
      <c r="GR562" s="133"/>
      <c r="GS562" s="133"/>
      <c r="GT562" s="133"/>
      <c r="GU562" s="133"/>
      <c r="GV562" s="133"/>
      <c r="GW562" s="133"/>
      <c r="GX562" s="133"/>
      <c r="GY562" s="133"/>
      <c r="GZ562" s="133"/>
      <c r="HA562" s="133"/>
      <c r="HB562" s="133"/>
      <c r="HC562" s="133"/>
      <c r="HD562" s="133"/>
      <c r="HE562" s="133"/>
      <c r="HF562" s="133"/>
      <c r="HG562" s="133"/>
      <c r="HH562" s="133"/>
      <c r="HI562" s="133"/>
      <c r="HJ562" s="133"/>
      <c r="HK562" s="133"/>
      <c r="HL562" s="133"/>
      <c r="HM562" s="133"/>
      <c r="HN562" s="133"/>
      <c r="HO562" s="133"/>
      <c r="HP562" s="133"/>
      <c r="HQ562" s="133"/>
      <c r="HR562" s="133"/>
      <c r="HS562" s="133"/>
      <c r="HT562" s="133"/>
      <c r="HU562" s="133"/>
      <c r="HV562" s="133"/>
      <c r="HW562" s="133"/>
      <c r="HX562" s="133"/>
      <c r="HY562" s="133"/>
      <c r="HZ562" s="133"/>
      <c r="IA562" s="133"/>
      <c r="IB562" s="133"/>
      <c r="IC562" s="133"/>
      <c r="ID562" s="133"/>
      <c r="IE562" s="133"/>
      <c r="IF562" s="133"/>
      <c r="IG562" s="133"/>
      <c r="IH562" s="133"/>
      <c r="II562" s="133"/>
      <c r="IJ562" s="133"/>
      <c r="IK562" s="133"/>
      <c r="IL562" s="133"/>
      <c r="IM562" s="133"/>
      <c r="IN562" s="133"/>
      <c r="IO562" s="133"/>
      <c r="IP562" s="133"/>
      <c r="IQ562" s="133"/>
      <c r="IR562" s="133"/>
      <c r="IS562" s="133"/>
      <c r="IT562" s="133"/>
      <c r="IU562" s="133"/>
      <c r="IV562" s="133"/>
    </row>
    <row r="563" spans="1:256" s="132" customFormat="1" ht="13.8">
      <c r="A563" s="133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GE563" s="133"/>
      <c r="GF563" s="133"/>
      <c r="GG563" s="133"/>
      <c r="GH563" s="133"/>
      <c r="GI563" s="133"/>
      <c r="GJ563" s="133"/>
      <c r="GK563" s="133"/>
      <c r="GL563" s="133"/>
      <c r="GM563" s="133"/>
      <c r="GN563" s="133"/>
      <c r="GO563" s="133"/>
      <c r="GP563" s="133"/>
      <c r="GQ563" s="133"/>
      <c r="GR563" s="133"/>
      <c r="GS563" s="133"/>
      <c r="GT563" s="133"/>
      <c r="GU563" s="133"/>
      <c r="GV563" s="133"/>
      <c r="GW563" s="133"/>
      <c r="GX563" s="133"/>
      <c r="GY563" s="133"/>
      <c r="GZ563" s="133"/>
      <c r="HA563" s="133"/>
      <c r="HB563" s="133"/>
      <c r="HC563" s="133"/>
      <c r="HD563" s="133"/>
      <c r="HE563" s="133"/>
      <c r="HF563" s="133"/>
      <c r="HG563" s="133"/>
      <c r="HH563" s="133"/>
      <c r="HI563" s="133"/>
      <c r="HJ563" s="133"/>
      <c r="HK563" s="133"/>
      <c r="HL563" s="133"/>
      <c r="HM563" s="133"/>
      <c r="HN563" s="133"/>
      <c r="HO563" s="133"/>
      <c r="HP563" s="133"/>
      <c r="HQ563" s="133"/>
      <c r="HR563" s="133"/>
      <c r="HS563" s="133"/>
      <c r="HT563" s="133"/>
      <c r="HU563" s="133"/>
      <c r="HV563" s="133"/>
      <c r="HW563" s="133"/>
      <c r="HX563" s="133"/>
      <c r="HY563" s="133"/>
      <c r="HZ563" s="133"/>
      <c r="IA563" s="133"/>
      <c r="IB563" s="133"/>
      <c r="IC563" s="133"/>
      <c r="ID563" s="133"/>
      <c r="IE563" s="133"/>
      <c r="IF563" s="133"/>
      <c r="IG563" s="133"/>
      <c r="IH563" s="133"/>
      <c r="II563" s="133"/>
      <c r="IJ563" s="133"/>
      <c r="IK563" s="133"/>
      <c r="IL563" s="133"/>
      <c r="IM563" s="133"/>
      <c r="IN563" s="133"/>
      <c r="IO563" s="133"/>
      <c r="IP563" s="133"/>
      <c r="IQ563" s="133"/>
      <c r="IR563" s="133"/>
      <c r="IS563" s="133"/>
      <c r="IT563" s="133"/>
      <c r="IU563" s="133"/>
      <c r="IV563" s="133"/>
    </row>
    <row r="564" spans="1:256" s="132" customFormat="1" ht="13.8">
      <c r="A564" s="133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GE564" s="133"/>
      <c r="GF564" s="133"/>
      <c r="GG564" s="133"/>
      <c r="GH564" s="133"/>
      <c r="GI564" s="133"/>
      <c r="GJ564" s="133"/>
      <c r="GK564" s="133"/>
      <c r="GL564" s="133"/>
      <c r="GM564" s="133"/>
      <c r="GN564" s="133"/>
      <c r="GO564" s="133"/>
      <c r="GP564" s="133"/>
      <c r="GQ564" s="133"/>
      <c r="GR564" s="133"/>
      <c r="GS564" s="133"/>
      <c r="GT564" s="133"/>
      <c r="GU564" s="133"/>
      <c r="GV564" s="133"/>
      <c r="GW564" s="133"/>
      <c r="GX564" s="133"/>
      <c r="GY564" s="133"/>
      <c r="GZ564" s="133"/>
      <c r="HA564" s="133"/>
      <c r="HB564" s="133"/>
      <c r="HC564" s="133"/>
      <c r="HD564" s="133"/>
      <c r="HE564" s="133"/>
      <c r="HF564" s="133"/>
      <c r="HG564" s="133"/>
      <c r="HH564" s="133"/>
      <c r="HI564" s="133"/>
      <c r="HJ564" s="133"/>
      <c r="HK564" s="133"/>
      <c r="HL564" s="133"/>
      <c r="HM564" s="133"/>
      <c r="HN564" s="133"/>
      <c r="HO564" s="133"/>
      <c r="HP564" s="133"/>
      <c r="HQ564" s="133"/>
      <c r="HR564" s="133"/>
      <c r="HS564" s="133"/>
      <c r="HT564" s="133"/>
      <c r="HU564" s="133"/>
      <c r="HV564" s="133"/>
      <c r="HW564" s="133"/>
      <c r="HX564" s="133"/>
      <c r="HY564" s="133"/>
      <c r="HZ564" s="133"/>
      <c r="IA564" s="133"/>
      <c r="IB564" s="133"/>
      <c r="IC564" s="133"/>
      <c r="ID564" s="133"/>
      <c r="IE564" s="133"/>
      <c r="IF564" s="133"/>
      <c r="IG564" s="133"/>
      <c r="IH564" s="133"/>
      <c r="II564" s="133"/>
      <c r="IJ564" s="133"/>
      <c r="IK564" s="133"/>
      <c r="IL564" s="133"/>
      <c r="IM564" s="133"/>
      <c r="IN564" s="133"/>
      <c r="IO564" s="133"/>
      <c r="IP564" s="133"/>
      <c r="IQ564" s="133"/>
      <c r="IR564" s="133"/>
      <c r="IS564" s="133"/>
      <c r="IT564" s="133"/>
      <c r="IU564" s="133"/>
      <c r="IV564" s="133"/>
    </row>
    <row r="565" spans="1:256" s="132" customFormat="1" ht="13.8">
      <c r="A565" s="133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GE565" s="133"/>
      <c r="GF565" s="133"/>
      <c r="GG565" s="133"/>
      <c r="GH565" s="133"/>
      <c r="GI565" s="133"/>
      <c r="GJ565" s="133"/>
      <c r="GK565" s="133"/>
      <c r="GL565" s="133"/>
      <c r="GM565" s="133"/>
      <c r="GN565" s="133"/>
      <c r="GO565" s="133"/>
      <c r="GP565" s="133"/>
      <c r="GQ565" s="133"/>
      <c r="GR565" s="133"/>
      <c r="GS565" s="133"/>
      <c r="GT565" s="133"/>
      <c r="GU565" s="133"/>
      <c r="GV565" s="133"/>
      <c r="GW565" s="133"/>
      <c r="GX565" s="133"/>
      <c r="GY565" s="133"/>
      <c r="GZ565" s="133"/>
      <c r="HA565" s="133"/>
      <c r="HB565" s="133"/>
      <c r="HC565" s="133"/>
      <c r="HD565" s="133"/>
      <c r="HE565" s="133"/>
      <c r="HF565" s="133"/>
      <c r="HG565" s="133"/>
      <c r="HH565" s="133"/>
      <c r="HI565" s="133"/>
      <c r="HJ565" s="133"/>
      <c r="HK565" s="133"/>
      <c r="HL565" s="133"/>
      <c r="HM565" s="133"/>
      <c r="HN565" s="133"/>
      <c r="HO565" s="133"/>
      <c r="HP565" s="133"/>
      <c r="HQ565" s="133"/>
      <c r="HR565" s="133"/>
      <c r="HS565" s="133"/>
      <c r="HT565" s="133"/>
      <c r="HU565" s="133"/>
      <c r="HV565" s="133"/>
      <c r="HW565" s="133"/>
      <c r="HX565" s="133"/>
      <c r="HY565" s="133"/>
      <c r="HZ565" s="133"/>
      <c r="IA565" s="133"/>
      <c r="IB565" s="133"/>
      <c r="IC565" s="133"/>
      <c r="ID565" s="133"/>
      <c r="IE565" s="133"/>
      <c r="IF565" s="133"/>
      <c r="IG565" s="133"/>
      <c r="IH565" s="133"/>
      <c r="II565" s="133"/>
      <c r="IJ565" s="133"/>
      <c r="IK565" s="133"/>
      <c r="IL565" s="133"/>
      <c r="IM565" s="133"/>
      <c r="IN565" s="133"/>
      <c r="IO565" s="133"/>
      <c r="IP565" s="133"/>
      <c r="IQ565" s="133"/>
      <c r="IR565" s="133"/>
      <c r="IS565" s="133"/>
      <c r="IT565" s="133"/>
      <c r="IU565" s="133"/>
      <c r="IV565" s="133"/>
    </row>
    <row r="566" spans="1:256" s="132" customFormat="1" ht="13.8">
      <c r="A566" s="133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GE566" s="133"/>
      <c r="GF566" s="133"/>
      <c r="GG566" s="133"/>
      <c r="GH566" s="133"/>
      <c r="GI566" s="133"/>
      <c r="GJ566" s="133"/>
      <c r="GK566" s="133"/>
      <c r="GL566" s="133"/>
      <c r="GM566" s="133"/>
      <c r="GN566" s="133"/>
      <c r="GO566" s="133"/>
      <c r="GP566" s="133"/>
      <c r="GQ566" s="133"/>
      <c r="GR566" s="133"/>
      <c r="GS566" s="133"/>
      <c r="GT566" s="133"/>
      <c r="GU566" s="133"/>
      <c r="GV566" s="133"/>
      <c r="GW566" s="133"/>
      <c r="GX566" s="133"/>
      <c r="GY566" s="133"/>
      <c r="GZ566" s="133"/>
      <c r="HA566" s="133"/>
      <c r="HB566" s="133"/>
      <c r="HC566" s="133"/>
      <c r="HD566" s="133"/>
      <c r="HE566" s="133"/>
      <c r="HF566" s="133"/>
      <c r="HG566" s="133"/>
      <c r="HH566" s="133"/>
      <c r="HI566" s="133"/>
      <c r="HJ566" s="133"/>
      <c r="HK566" s="133"/>
      <c r="HL566" s="133"/>
      <c r="HM566" s="133"/>
      <c r="HN566" s="133"/>
      <c r="HO566" s="133"/>
      <c r="HP566" s="133"/>
      <c r="HQ566" s="133"/>
      <c r="HR566" s="133"/>
      <c r="HS566" s="133"/>
      <c r="HT566" s="133"/>
      <c r="HU566" s="133"/>
      <c r="HV566" s="133"/>
      <c r="HW566" s="133"/>
      <c r="HX566" s="133"/>
      <c r="HY566" s="133"/>
      <c r="HZ566" s="133"/>
      <c r="IA566" s="133"/>
      <c r="IB566" s="133"/>
      <c r="IC566" s="133"/>
      <c r="ID566" s="133"/>
      <c r="IE566" s="133"/>
      <c r="IF566" s="133"/>
      <c r="IG566" s="133"/>
      <c r="IH566" s="133"/>
      <c r="II566" s="133"/>
      <c r="IJ566" s="133"/>
      <c r="IK566" s="133"/>
      <c r="IL566" s="133"/>
      <c r="IM566" s="133"/>
      <c r="IN566" s="133"/>
      <c r="IO566" s="133"/>
      <c r="IP566" s="133"/>
      <c r="IQ566" s="133"/>
      <c r="IR566" s="133"/>
      <c r="IS566" s="133"/>
      <c r="IT566" s="133"/>
      <c r="IU566" s="133"/>
      <c r="IV566" s="133"/>
    </row>
    <row r="567" spans="1:256" s="132" customFormat="1" ht="13.8">
      <c r="A567" s="133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GE567" s="133"/>
      <c r="GF567" s="133"/>
      <c r="GG567" s="133"/>
      <c r="GH567" s="133"/>
      <c r="GI567" s="133"/>
      <c r="GJ567" s="133"/>
      <c r="GK567" s="133"/>
      <c r="GL567" s="133"/>
      <c r="GM567" s="133"/>
      <c r="GN567" s="133"/>
      <c r="GO567" s="133"/>
      <c r="GP567" s="133"/>
      <c r="GQ567" s="133"/>
      <c r="GR567" s="133"/>
      <c r="GS567" s="133"/>
      <c r="GT567" s="133"/>
      <c r="GU567" s="133"/>
      <c r="GV567" s="133"/>
      <c r="GW567" s="133"/>
      <c r="GX567" s="133"/>
      <c r="GY567" s="133"/>
      <c r="GZ567" s="133"/>
      <c r="HA567" s="133"/>
      <c r="HB567" s="133"/>
      <c r="HC567" s="133"/>
      <c r="HD567" s="133"/>
      <c r="HE567" s="133"/>
      <c r="HF567" s="133"/>
      <c r="HG567" s="133"/>
      <c r="HH567" s="133"/>
      <c r="HI567" s="133"/>
      <c r="HJ567" s="133"/>
      <c r="HK567" s="133"/>
      <c r="HL567" s="133"/>
      <c r="HM567" s="133"/>
      <c r="HN567" s="133"/>
      <c r="HO567" s="133"/>
      <c r="HP567" s="133"/>
      <c r="HQ567" s="133"/>
      <c r="HR567" s="133"/>
      <c r="HS567" s="133"/>
      <c r="HT567" s="133"/>
      <c r="HU567" s="133"/>
      <c r="HV567" s="133"/>
      <c r="HW567" s="133"/>
      <c r="HX567" s="133"/>
      <c r="HY567" s="133"/>
      <c r="HZ567" s="133"/>
      <c r="IA567" s="133"/>
      <c r="IB567" s="133"/>
      <c r="IC567" s="133"/>
      <c r="ID567" s="133"/>
      <c r="IE567" s="133"/>
      <c r="IF567" s="133"/>
      <c r="IG567" s="133"/>
      <c r="IH567" s="133"/>
      <c r="II567" s="133"/>
      <c r="IJ567" s="133"/>
      <c r="IK567" s="133"/>
      <c r="IL567" s="133"/>
      <c r="IM567" s="133"/>
      <c r="IN567" s="133"/>
      <c r="IO567" s="133"/>
      <c r="IP567" s="133"/>
      <c r="IQ567" s="133"/>
      <c r="IR567" s="133"/>
      <c r="IS567" s="133"/>
      <c r="IT567" s="133"/>
      <c r="IU567" s="133"/>
      <c r="IV567" s="133"/>
    </row>
    <row r="568" spans="1:256" s="132" customFormat="1" ht="13.8">
      <c r="A568" s="133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GE568" s="133"/>
      <c r="GF568" s="133"/>
      <c r="GG568" s="133"/>
      <c r="GH568" s="133"/>
      <c r="GI568" s="133"/>
      <c r="GJ568" s="133"/>
      <c r="GK568" s="133"/>
      <c r="GL568" s="133"/>
      <c r="GM568" s="133"/>
      <c r="GN568" s="133"/>
      <c r="GO568" s="133"/>
      <c r="GP568" s="133"/>
      <c r="GQ568" s="133"/>
      <c r="GR568" s="133"/>
      <c r="GS568" s="133"/>
      <c r="GT568" s="133"/>
      <c r="GU568" s="133"/>
      <c r="GV568" s="133"/>
      <c r="GW568" s="133"/>
      <c r="GX568" s="133"/>
      <c r="GY568" s="133"/>
      <c r="GZ568" s="133"/>
      <c r="HA568" s="133"/>
      <c r="HB568" s="133"/>
      <c r="HC568" s="133"/>
      <c r="HD568" s="133"/>
      <c r="HE568" s="133"/>
      <c r="HF568" s="133"/>
      <c r="HG568" s="133"/>
      <c r="HH568" s="133"/>
      <c r="HI568" s="133"/>
      <c r="HJ568" s="133"/>
      <c r="HK568" s="133"/>
      <c r="HL568" s="133"/>
      <c r="HM568" s="133"/>
      <c r="HN568" s="133"/>
      <c r="HO568" s="133"/>
      <c r="HP568" s="133"/>
      <c r="HQ568" s="133"/>
      <c r="HR568" s="133"/>
      <c r="HS568" s="133"/>
      <c r="HT568" s="133"/>
      <c r="HU568" s="133"/>
      <c r="HV568" s="133"/>
      <c r="HW568" s="133"/>
      <c r="HX568" s="133"/>
      <c r="HY568" s="133"/>
      <c r="HZ568" s="133"/>
      <c r="IA568" s="133"/>
      <c r="IB568" s="133"/>
      <c r="IC568" s="133"/>
      <c r="ID568" s="133"/>
      <c r="IE568" s="133"/>
      <c r="IF568" s="133"/>
      <c r="IG568" s="133"/>
      <c r="IH568" s="133"/>
      <c r="II568" s="133"/>
      <c r="IJ568" s="133"/>
      <c r="IK568" s="133"/>
      <c r="IL568" s="133"/>
      <c r="IM568" s="133"/>
      <c r="IN568" s="133"/>
      <c r="IO568" s="133"/>
      <c r="IP568" s="133"/>
      <c r="IQ568" s="133"/>
      <c r="IR568" s="133"/>
      <c r="IS568" s="133"/>
      <c r="IT568" s="133"/>
      <c r="IU568" s="133"/>
      <c r="IV568" s="133"/>
    </row>
    <row r="569" spans="1:256" s="132" customFormat="1" ht="13.8">
      <c r="A569" s="133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GE569" s="133"/>
      <c r="GF569" s="133"/>
      <c r="GG569" s="133"/>
      <c r="GH569" s="133"/>
      <c r="GI569" s="133"/>
      <c r="GJ569" s="133"/>
      <c r="GK569" s="133"/>
      <c r="GL569" s="133"/>
      <c r="GM569" s="133"/>
      <c r="GN569" s="133"/>
      <c r="GO569" s="133"/>
      <c r="GP569" s="133"/>
      <c r="GQ569" s="133"/>
      <c r="GR569" s="133"/>
      <c r="GS569" s="133"/>
      <c r="GT569" s="133"/>
      <c r="GU569" s="133"/>
      <c r="GV569" s="133"/>
      <c r="GW569" s="133"/>
      <c r="GX569" s="133"/>
      <c r="GY569" s="133"/>
      <c r="GZ569" s="133"/>
      <c r="HA569" s="133"/>
      <c r="HB569" s="133"/>
      <c r="HC569" s="133"/>
      <c r="HD569" s="133"/>
      <c r="HE569" s="133"/>
      <c r="HF569" s="133"/>
      <c r="HG569" s="133"/>
      <c r="HH569" s="133"/>
      <c r="HI569" s="133"/>
      <c r="HJ569" s="133"/>
      <c r="HK569" s="133"/>
      <c r="HL569" s="133"/>
      <c r="HM569" s="133"/>
      <c r="HN569" s="133"/>
      <c r="HO569" s="133"/>
      <c r="HP569" s="133"/>
      <c r="HQ569" s="133"/>
      <c r="HR569" s="133"/>
      <c r="HS569" s="133"/>
      <c r="HT569" s="133"/>
      <c r="HU569" s="133"/>
      <c r="HV569" s="133"/>
      <c r="HW569" s="133"/>
      <c r="HX569" s="133"/>
      <c r="HY569" s="133"/>
      <c r="HZ569" s="133"/>
      <c r="IA569" s="133"/>
      <c r="IB569" s="133"/>
      <c r="IC569" s="133"/>
      <c r="ID569" s="133"/>
      <c r="IE569" s="133"/>
      <c r="IF569" s="133"/>
      <c r="IG569" s="133"/>
      <c r="IH569" s="133"/>
      <c r="II569" s="133"/>
      <c r="IJ569" s="133"/>
      <c r="IK569" s="133"/>
      <c r="IL569" s="133"/>
      <c r="IM569" s="133"/>
      <c r="IN569" s="133"/>
      <c r="IO569" s="133"/>
      <c r="IP569" s="133"/>
      <c r="IQ569" s="133"/>
      <c r="IR569" s="133"/>
      <c r="IS569" s="133"/>
      <c r="IT569" s="133"/>
      <c r="IU569" s="133"/>
      <c r="IV569" s="133"/>
    </row>
    <row r="570" spans="1:256" s="132" customFormat="1" ht="13.8">
      <c r="A570" s="133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GE570" s="133"/>
      <c r="GF570" s="133"/>
      <c r="GG570" s="133"/>
      <c r="GH570" s="133"/>
      <c r="GI570" s="133"/>
      <c r="GJ570" s="133"/>
      <c r="GK570" s="133"/>
      <c r="GL570" s="133"/>
      <c r="GM570" s="133"/>
      <c r="GN570" s="133"/>
      <c r="GO570" s="133"/>
      <c r="GP570" s="133"/>
      <c r="GQ570" s="133"/>
      <c r="GR570" s="133"/>
      <c r="GS570" s="133"/>
      <c r="GT570" s="133"/>
      <c r="GU570" s="133"/>
      <c r="GV570" s="133"/>
      <c r="GW570" s="133"/>
      <c r="GX570" s="133"/>
      <c r="GY570" s="133"/>
      <c r="GZ570" s="133"/>
      <c r="HA570" s="133"/>
      <c r="HB570" s="133"/>
      <c r="HC570" s="133"/>
      <c r="HD570" s="133"/>
      <c r="HE570" s="133"/>
      <c r="HF570" s="133"/>
      <c r="HG570" s="133"/>
      <c r="HH570" s="133"/>
      <c r="HI570" s="133"/>
      <c r="HJ570" s="133"/>
      <c r="HK570" s="133"/>
      <c r="HL570" s="133"/>
      <c r="HM570" s="133"/>
      <c r="HN570" s="133"/>
      <c r="HO570" s="133"/>
      <c r="HP570" s="133"/>
      <c r="HQ570" s="133"/>
      <c r="HR570" s="133"/>
      <c r="HS570" s="133"/>
      <c r="HT570" s="133"/>
      <c r="HU570" s="133"/>
      <c r="HV570" s="133"/>
      <c r="HW570" s="133"/>
      <c r="HX570" s="133"/>
      <c r="HY570" s="133"/>
      <c r="HZ570" s="133"/>
      <c r="IA570" s="133"/>
      <c r="IB570" s="133"/>
      <c r="IC570" s="133"/>
      <c r="ID570" s="133"/>
      <c r="IE570" s="133"/>
      <c r="IF570" s="133"/>
      <c r="IG570" s="133"/>
      <c r="IH570" s="133"/>
      <c r="II570" s="133"/>
      <c r="IJ570" s="133"/>
      <c r="IK570" s="133"/>
      <c r="IL570" s="133"/>
      <c r="IM570" s="133"/>
      <c r="IN570" s="133"/>
      <c r="IO570" s="133"/>
      <c r="IP570" s="133"/>
      <c r="IQ570" s="133"/>
      <c r="IR570" s="133"/>
      <c r="IS570" s="133"/>
      <c r="IT570" s="133"/>
      <c r="IU570" s="133"/>
      <c r="IV570" s="133"/>
    </row>
    <row r="571" spans="1:256" s="132" customFormat="1" ht="13.8">
      <c r="A571" s="133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GE571" s="133"/>
      <c r="GF571" s="133"/>
      <c r="GG571" s="133"/>
      <c r="GH571" s="133"/>
      <c r="GI571" s="133"/>
      <c r="GJ571" s="133"/>
      <c r="GK571" s="133"/>
      <c r="GL571" s="133"/>
      <c r="GM571" s="133"/>
      <c r="GN571" s="133"/>
      <c r="GO571" s="133"/>
      <c r="GP571" s="133"/>
      <c r="GQ571" s="133"/>
      <c r="GR571" s="133"/>
      <c r="GS571" s="133"/>
      <c r="GT571" s="133"/>
      <c r="GU571" s="133"/>
      <c r="GV571" s="133"/>
      <c r="GW571" s="133"/>
      <c r="GX571" s="133"/>
      <c r="GY571" s="133"/>
      <c r="GZ571" s="133"/>
      <c r="HA571" s="133"/>
      <c r="HB571" s="133"/>
      <c r="HC571" s="133"/>
      <c r="HD571" s="133"/>
      <c r="HE571" s="133"/>
      <c r="HF571" s="133"/>
      <c r="HG571" s="133"/>
      <c r="HH571" s="133"/>
      <c r="HI571" s="133"/>
      <c r="HJ571" s="133"/>
      <c r="HK571" s="133"/>
      <c r="HL571" s="133"/>
      <c r="HM571" s="133"/>
      <c r="HN571" s="133"/>
      <c r="HO571" s="133"/>
      <c r="HP571" s="133"/>
      <c r="HQ571" s="133"/>
      <c r="HR571" s="133"/>
      <c r="HS571" s="133"/>
      <c r="HT571" s="133"/>
      <c r="HU571" s="133"/>
      <c r="HV571" s="133"/>
      <c r="HW571" s="133"/>
      <c r="HX571" s="133"/>
      <c r="HY571" s="133"/>
      <c r="HZ571" s="133"/>
      <c r="IA571" s="133"/>
      <c r="IB571" s="133"/>
      <c r="IC571" s="133"/>
      <c r="ID571" s="133"/>
      <c r="IE571" s="133"/>
      <c r="IF571" s="133"/>
      <c r="IG571" s="133"/>
      <c r="IH571" s="133"/>
      <c r="II571" s="133"/>
      <c r="IJ571" s="133"/>
      <c r="IK571" s="133"/>
      <c r="IL571" s="133"/>
      <c r="IM571" s="133"/>
      <c r="IN571" s="133"/>
      <c r="IO571" s="133"/>
      <c r="IP571" s="133"/>
      <c r="IQ571" s="133"/>
      <c r="IR571" s="133"/>
      <c r="IS571" s="133"/>
      <c r="IT571" s="133"/>
      <c r="IU571" s="133"/>
      <c r="IV571" s="133"/>
    </row>
    <row r="572" spans="1:256" s="132" customFormat="1" ht="13.8">
      <c r="A572" s="133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GE572" s="133"/>
      <c r="GF572" s="133"/>
      <c r="GG572" s="133"/>
      <c r="GH572" s="133"/>
      <c r="GI572" s="133"/>
      <c r="GJ572" s="133"/>
      <c r="GK572" s="133"/>
      <c r="GL572" s="133"/>
      <c r="GM572" s="133"/>
      <c r="GN572" s="133"/>
      <c r="GO572" s="133"/>
      <c r="GP572" s="133"/>
      <c r="GQ572" s="133"/>
      <c r="GR572" s="133"/>
      <c r="GS572" s="133"/>
      <c r="GT572" s="133"/>
      <c r="GU572" s="133"/>
      <c r="GV572" s="133"/>
      <c r="GW572" s="133"/>
      <c r="GX572" s="133"/>
      <c r="GY572" s="133"/>
      <c r="GZ572" s="133"/>
      <c r="HA572" s="133"/>
      <c r="HB572" s="133"/>
      <c r="HC572" s="133"/>
      <c r="HD572" s="133"/>
      <c r="HE572" s="133"/>
      <c r="HF572" s="133"/>
      <c r="HG572" s="133"/>
      <c r="HH572" s="133"/>
      <c r="HI572" s="133"/>
      <c r="HJ572" s="133"/>
      <c r="HK572" s="133"/>
      <c r="HL572" s="133"/>
      <c r="HM572" s="133"/>
      <c r="HN572" s="133"/>
      <c r="HO572" s="133"/>
      <c r="HP572" s="133"/>
      <c r="HQ572" s="133"/>
      <c r="HR572" s="133"/>
      <c r="HS572" s="133"/>
      <c r="HT572" s="133"/>
      <c r="HU572" s="133"/>
      <c r="HV572" s="133"/>
      <c r="HW572" s="133"/>
      <c r="HX572" s="133"/>
      <c r="HY572" s="133"/>
      <c r="HZ572" s="133"/>
      <c r="IA572" s="133"/>
      <c r="IB572" s="133"/>
      <c r="IC572" s="133"/>
      <c r="ID572" s="133"/>
      <c r="IE572" s="133"/>
      <c r="IF572" s="133"/>
      <c r="IG572" s="133"/>
      <c r="IH572" s="133"/>
      <c r="II572" s="133"/>
      <c r="IJ572" s="133"/>
      <c r="IK572" s="133"/>
      <c r="IL572" s="133"/>
      <c r="IM572" s="133"/>
      <c r="IN572" s="133"/>
      <c r="IO572" s="133"/>
      <c r="IP572" s="133"/>
      <c r="IQ572" s="133"/>
      <c r="IR572" s="133"/>
      <c r="IS572" s="133"/>
      <c r="IT572" s="133"/>
      <c r="IU572" s="133"/>
      <c r="IV572" s="133"/>
    </row>
    <row r="573" spans="1:256" s="132" customFormat="1" ht="13.8">
      <c r="A573" s="133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GE573" s="133"/>
      <c r="GF573" s="133"/>
      <c r="GG573" s="133"/>
      <c r="GH573" s="133"/>
      <c r="GI573" s="133"/>
      <c r="GJ573" s="133"/>
      <c r="GK573" s="133"/>
      <c r="GL573" s="133"/>
      <c r="GM573" s="133"/>
      <c r="GN573" s="133"/>
      <c r="GO573" s="133"/>
      <c r="GP573" s="133"/>
      <c r="GQ573" s="133"/>
      <c r="GR573" s="133"/>
      <c r="GS573" s="133"/>
      <c r="GT573" s="133"/>
      <c r="GU573" s="133"/>
      <c r="GV573" s="133"/>
      <c r="GW573" s="133"/>
      <c r="GX573" s="133"/>
      <c r="GY573" s="133"/>
      <c r="GZ573" s="133"/>
      <c r="HA573" s="133"/>
      <c r="HB573" s="133"/>
      <c r="HC573" s="133"/>
      <c r="HD573" s="133"/>
      <c r="HE573" s="133"/>
      <c r="HF573" s="133"/>
      <c r="HG573" s="133"/>
      <c r="HH573" s="133"/>
      <c r="HI573" s="133"/>
      <c r="HJ573" s="133"/>
      <c r="HK573" s="133"/>
      <c r="HL573" s="133"/>
      <c r="HM573" s="133"/>
      <c r="HN573" s="133"/>
      <c r="HO573" s="133"/>
      <c r="HP573" s="133"/>
      <c r="HQ573" s="133"/>
      <c r="HR573" s="133"/>
      <c r="HS573" s="133"/>
      <c r="HT573" s="133"/>
      <c r="HU573" s="133"/>
      <c r="HV573" s="133"/>
      <c r="HW573" s="133"/>
      <c r="HX573" s="133"/>
      <c r="HY573" s="133"/>
      <c r="HZ573" s="133"/>
      <c r="IA573" s="133"/>
      <c r="IB573" s="133"/>
      <c r="IC573" s="133"/>
      <c r="ID573" s="133"/>
      <c r="IE573" s="133"/>
      <c r="IF573" s="133"/>
      <c r="IG573" s="133"/>
      <c r="IH573" s="133"/>
      <c r="II573" s="133"/>
      <c r="IJ573" s="133"/>
      <c r="IK573" s="133"/>
      <c r="IL573" s="133"/>
      <c r="IM573" s="133"/>
      <c r="IN573" s="133"/>
      <c r="IO573" s="133"/>
      <c r="IP573" s="133"/>
      <c r="IQ573" s="133"/>
      <c r="IR573" s="133"/>
      <c r="IS573" s="133"/>
      <c r="IT573" s="133"/>
      <c r="IU573" s="133"/>
      <c r="IV573" s="133"/>
    </row>
    <row r="574" spans="1:256" s="132" customFormat="1" ht="13.8">
      <c r="A574" s="133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GE574" s="133"/>
      <c r="GF574" s="133"/>
      <c r="GG574" s="133"/>
      <c r="GH574" s="133"/>
      <c r="GI574" s="133"/>
      <c r="GJ574" s="133"/>
      <c r="GK574" s="133"/>
      <c r="GL574" s="133"/>
      <c r="GM574" s="133"/>
      <c r="GN574" s="133"/>
      <c r="GO574" s="133"/>
      <c r="GP574" s="133"/>
      <c r="GQ574" s="133"/>
      <c r="GR574" s="133"/>
      <c r="GS574" s="133"/>
      <c r="GT574" s="133"/>
      <c r="GU574" s="133"/>
      <c r="GV574" s="133"/>
      <c r="GW574" s="133"/>
      <c r="GX574" s="133"/>
      <c r="GY574" s="133"/>
      <c r="GZ574" s="133"/>
      <c r="HA574" s="133"/>
      <c r="HB574" s="133"/>
      <c r="HC574" s="133"/>
      <c r="HD574" s="133"/>
      <c r="HE574" s="133"/>
      <c r="HF574" s="133"/>
      <c r="HG574" s="133"/>
      <c r="HH574" s="133"/>
      <c r="HI574" s="133"/>
      <c r="HJ574" s="133"/>
      <c r="HK574" s="133"/>
      <c r="HL574" s="133"/>
      <c r="HM574" s="133"/>
      <c r="HN574" s="133"/>
      <c r="HO574" s="133"/>
      <c r="HP574" s="133"/>
      <c r="HQ574" s="133"/>
      <c r="HR574" s="133"/>
      <c r="HS574" s="133"/>
      <c r="HT574" s="133"/>
      <c r="HU574" s="133"/>
      <c r="HV574" s="133"/>
      <c r="HW574" s="133"/>
      <c r="HX574" s="133"/>
      <c r="HY574" s="133"/>
      <c r="HZ574" s="133"/>
      <c r="IA574" s="133"/>
      <c r="IB574" s="133"/>
      <c r="IC574" s="133"/>
      <c r="ID574" s="133"/>
      <c r="IE574" s="133"/>
      <c r="IF574" s="133"/>
      <c r="IG574" s="133"/>
      <c r="IH574" s="133"/>
      <c r="II574" s="133"/>
      <c r="IJ574" s="133"/>
      <c r="IK574" s="133"/>
      <c r="IL574" s="133"/>
      <c r="IM574" s="133"/>
      <c r="IN574" s="133"/>
      <c r="IO574" s="133"/>
      <c r="IP574" s="133"/>
      <c r="IQ574" s="133"/>
      <c r="IR574" s="133"/>
      <c r="IS574" s="133"/>
      <c r="IT574" s="133"/>
      <c r="IU574" s="133"/>
      <c r="IV574" s="133"/>
    </row>
    <row r="575" spans="1:256" s="132" customFormat="1" ht="13.8">
      <c r="A575" s="133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GE575" s="133"/>
      <c r="GF575" s="133"/>
      <c r="GG575" s="133"/>
      <c r="GH575" s="133"/>
      <c r="GI575" s="133"/>
      <c r="GJ575" s="133"/>
      <c r="GK575" s="133"/>
      <c r="GL575" s="133"/>
      <c r="GM575" s="133"/>
      <c r="GN575" s="133"/>
      <c r="GO575" s="133"/>
      <c r="GP575" s="133"/>
      <c r="GQ575" s="133"/>
      <c r="GR575" s="133"/>
      <c r="GS575" s="133"/>
      <c r="GT575" s="133"/>
      <c r="GU575" s="133"/>
      <c r="GV575" s="133"/>
      <c r="GW575" s="133"/>
      <c r="GX575" s="133"/>
      <c r="GY575" s="133"/>
      <c r="GZ575" s="133"/>
      <c r="HA575" s="133"/>
      <c r="HB575" s="133"/>
      <c r="HC575" s="133"/>
      <c r="HD575" s="133"/>
      <c r="HE575" s="133"/>
      <c r="HF575" s="133"/>
      <c r="HG575" s="133"/>
      <c r="HH575" s="133"/>
      <c r="HI575" s="133"/>
      <c r="HJ575" s="133"/>
      <c r="HK575" s="133"/>
      <c r="HL575" s="133"/>
      <c r="HM575" s="133"/>
      <c r="HN575" s="133"/>
      <c r="HO575" s="133"/>
      <c r="HP575" s="133"/>
      <c r="HQ575" s="133"/>
      <c r="HR575" s="133"/>
      <c r="HS575" s="133"/>
      <c r="HT575" s="133"/>
      <c r="HU575" s="133"/>
      <c r="HV575" s="133"/>
      <c r="HW575" s="133"/>
      <c r="HX575" s="133"/>
      <c r="HY575" s="133"/>
      <c r="HZ575" s="133"/>
      <c r="IA575" s="133"/>
      <c r="IB575" s="133"/>
      <c r="IC575" s="133"/>
      <c r="ID575" s="133"/>
      <c r="IE575" s="133"/>
      <c r="IF575" s="133"/>
      <c r="IG575" s="133"/>
      <c r="IH575" s="133"/>
      <c r="II575" s="133"/>
      <c r="IJ575" s="133"/>
      <c r="IK575" s="133"/>
      <c r="IL575" s="133"/>
      <c r="IM575" s="133"/>
      <c r="IN575" s="133"/>
      <c r="IO575" s="133"/>
      <c r="IP575" s="133"/>
      <c r="IQ575" s="133"/>
      <c r="IR575" s="133"/>
      <c r="IS575" s="133"/>
      <c r="IT575" s="133"/>
      <c r="IU575" s="133"/>
      <c r="IV575" s="133"/>
    </row>
    <row r="576" spans="1:256" s="132" customFormat="1" ht="13.8">
      <c r="A576" s="133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GE576" s="133"/>
      <c r="GF576" s="133"/>
      <c r="GG576" s="133"/>
      <c r="GH576" s="133"/>
      <c r="GI576" s="133"/>
      <c r="GJ576" s="133"/>
      <c r="GK576" s="133"/>
      <c r="GL576" s="133"/>
      <c r="GM576" s="133"/>
      <c r="GN576" s="133"/>
      <c r="GO576" s="133"/>
      <c r="GP576" s="133"/>
      <c r="GQ576" s="133"/>
      <c r="GR576" s="133"/>
      <c r="GS576" s="133"/>
      <c r="GT576" s="133"/>
      <c r="GU576" s="133"/>
      <c r="GV576" s="133"/>
      <c r="GW576" s="133"/>
      <c r="GX576" s="133"/>
      <c r="GY576" s="133"/>
      <c r="GZ576" s="133"/>
      <c r="HA576" s="133"/>
      <c r="HB576" s="133"/>
      <c r="HC576" s="133"/>
      <c r="HD576" s="133"/>
      <c r="HE576" s="133"/>
      <c r="HF576" s="133"/>
      <c r="HG576" s="133"/>
      <c r="HH576" s="133"/>
      <c r="HI576" s="133"/>
      <c r="HJ576" s="133"/>
      <c r="HK576" s="133"/>
      <c r="HL576" s="133"/>
      <c r="HM576" s="133"/>
      <c r="HN576" s="133"/>
      <c r="HO576" s="133"/>
      <c r="HP576" s="133"/>
      <c r="HQ576" s="133"/>
      <c r="HR576" s="133"/>
      <c r="HS576" s="133"/>
      <c r="HT576" s="133"/>
      <c r="HU576" s="133"/>
      <c r="HV576" s="133"/>
      <c r="HW576" s="133"/>
      <c r="HX576" s="133"/>
      <c r="HY576" s="133"/>
      <c r="HZ576" s="133"/>
      <c r="IA576" s="133"/>
      <c r="IB576" s="133"/>
      <c r="IC576" s="133"/>
      <c r="ID576" s="133"/>
      <c r="IE576" s="133"/>
      <c r="IF576" s="133"/>
      <c r="IG576" s="133"/>
      <c r="IH576" s="133"/>
      <c r="II576" s="133"/>
      <c r="IJ576" s="133"/>
      <c r="IK576" s="133"/>
      <c r="IL576" s="133"/>
      <c r="IM576" s="133"/>
      <c r="IN576" s="133"/>
      <c r="IO576" s="133"/>
      <c r="IP576" s="133"/>
      <c r="IQ576" s="133"/>
      <c r="IR576" s="133"/>
      <c r="IS576" s="133"/>
      <c r="IT576" s="133"/>
      <c r="IU576" s="133"/>
      <c r="IV576" s="133"/>
    </row>
    <row r="577" spans="1:256" s="132" customFormat="1" ht="13.8">
      <c r="A577" s="133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GE577" s="133"/>
      <c r="GF577" s="133"/>
      <c r="GG577" s="133"/>
      <c r="GH577" s="133"/>
      <c r="GI577" s="133"/>
      <c r="GJ577" s="133"/>
      <c r="GK577" s="133"/>
      <c r="GL577" s="133"/>
      <c r="GM577" s="133"/>
      <c r="GN577" s="133"/>
      <c r="GO577" s="133"/>
      <c r="GP577" s="133"/>
      <c r="GQ577" s="133"/>
      <c r="GR577" s="133"/>
      <c r="GS577" s="133"/>
      <c r="GT577" s="133"/>
      <c r="GU577" s="133"/>
      <c r="GV577" s="133"/>
      <c r="GW577" s="133"/>
      <c r="GX577" s="133"/>
      <c r="GY577" s="133"/>
      <c r="GZ577" s="133"/>
      <c r="HA577" s="133"/>
      <c r="HB577" s="133"/>
      <c r="HC577" s="133"/>
      <c r="HD577" s="133"/>
      <c r="HE577" s="133"/>
      <c r="HF577" s="133"/>
      <c r="HG577" s="133"/>
      <c r="HH577" s="133"/>
      <c r="HI577" s="133"/>
      <c r="HJ577" s="133"/>
      <c r="HK577" s="133"/>
      <c r="HL577" s="133"/>
      <c r="HM577" s="133"/>
      <c r="HN577" s="133"/>
      <c r="HO577" s="133"/>
      <c r="HP577" s="133"/>
      <c r="HQ577" s="133"/>
      <c r="HR577" s="133"/>
      <c r="HS577" s="133"/>
      <c r="HT577" s="133"/>
      <c r="HU577" s="133"/>
      <c r="HV577" s="133"/>
      <c r="HW577" s="133"/>
      <c r="HX577" s="133"/>
      <c r="HY577" s="133"/>
      <c r="HZ577" s="133"/>
      <c r="IA577" s="133"/>
      <c r="IB577" s="133"/>
      <c r="IC577" s="133"/>
      <c r="ID577" s="133"/>
      <c r="IE577" s="133"/>
      <c r="IF577" s="133"/>
      <c r="IG577" s="133"/>
      <c r="IH577" s="133"/>
      <c r="II577" s="133"/>
      <c r="IJ577" s="133"/>
      <c r="IK577" s="133"/>
      <c r="IL577" s="133"/>
      <c r="IM577" s="133"/>
      <c r="IN577" s="133"/>
      <c r="IO577" s="133"/>
      <c r="IP577" s="133"/>
      <c r="IQ577" s="133"/>
      <c r="IR577" s="133"/>
      <c r="IS577" s="133"/>
      <c r="IT577" s="133"/>
      <c r="IU577" s="133"/>
      <c r="IV577" s="133"/>
    </row>
    <row r="578" spans="1:256" s="132" customFormat="1" ht="13.8">
      <c r="A578" s="133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GE578" s="133"/>
      <c r="GF578" s="133"/>
      <c r="GG578" s="133"/>
      <c r="GH578" s="133"/>
      <c r="GI578" s="133"/>
      <c r="GJ578" s="133"/>
      <c r="GK578" s="133"/>
      <c r="GL578" s="133"/>
      <c r="GM578" s="133"/>
      <c r="GN578" s="133"/>
      <c r="GO578" s="133"/>
      <c r="GP578" s="133"/>
      <c r="GQ578" s="133"/>
      <c r="GR578" s="133"/>
      <c r="GS578" s="133"/>
      <c r="GT578" s="133"/>
      <c r="GU578" s="133"/>
      <c r="GV578" s="133"/>
      <c r="GW578" s="133"/>
      <c r="GX578" s="133"/>
      <c r="GY578" s="133"/>
      <c r="GZ578" s="133"/>
      <c r="HA578" s="133"/>
      <c r="HB578" s="133"/>
      <c r="HC578" s="133"/>
      <c r="HD578" s="133"/>
      <c r="HE578" s="133"/>
      <c r="HF578" s="133"/>
      <c r="HG578" s="133"/>
      <c r="HH578" s="133"/>
      <c r="HI578" s="133"/>
      <c r="HJ578" s="133"/>
      <c r="HK578" s="133"/>
      <c r="HL578" s="133"/>
      <c r="HM578" s="133"/>
      <c r="HN578" s="133"/>
      <c r="HO578" s="133"/>
      <c r="HP578" s="133"/>
      <c r="HQ578" s="133"/>
      <c r="HR578" s="133"/>
      <c r="HS578" s="133"/>
      <c r="HT578" s="133"/>
      <c r="HU578" s="133"/>
      <c r="HV578" s="133"/>
      <c r="HW578" s="133"/>
      <c r="HX578" s="133"/>
      <c r="HY578" s="133"/>
      <c r="HZ578" s="133"/>
      <c r="IA578" s="133"/>
      <c r="IB578" s="133"/>
      <c r="IC578" s="133"/>
      <c r="ID578" s="133"/>
      <c r="IE578" s="133"/>
      <c r="IF578" s="133"/>
      <c r="IG578" s="133"/>
      <c r="IH578" s="133"/>
      <c r="II578" s="133"/>
      <c r="IJ578" s="133"/>
      <c r="IK578" s="133"/>
      <c r="IL578" s="133"/>
      <c r="IM578" s="133"/>
      <c r="IN578" s="133"/>
      <c r="IO578" s="133"/>
      <c r="IP578" s="133"/>
      <c r="IQ578" s="133"/>
      <c r="IR578" s="133"/>
      <c r="IS578" s="133"/>
      <c r="IT578" s="133"/>
      <c r="IU578" s="133"/>
      <c r="IV578" s="133"/>
    </row>
    <row r="579" spans="1:256" s="132" customFormat="1" ht="13.8">
      <c r="A579" s="133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GE579" s="133"/>
      <c r="GF579" s="133"/>
      <c r="GG579" s="133"/>
      <c r="GH579" s="133"/>
      <c r="GI579" s="133"/>
      <c r="GJ579" s="133"/>
      <c r="GK579" s="133"/>
      <c r="GL579" s="133"/>
      <c r="GM579" s="133"/>
      <c r="GN579" s="133"/>
      <c r="GO579" s="133"/>
      <c r="GP579" s="133"/>
      <c r="GQ579" s="133"/>
      <c r="GR579" s="133"/>
      <c r="GS579" s="133"/>
      <c r="GT579" s="133"/>
      <c r="GU579" s="133"/>
      <c r="GV579" s="133"/>
      <c r="GW579" s="133"/>
      <c r="GX579" s="133"/>
      <c r="GY579" s="133"/>
      <c r="GZ579" s="133"/>
      <c r="HA579" s="133"/>
      <c r="HB579" s="133"/>
      <c r="HC579" s="133"/>
      <c r="HD579" s="133"/>
      <c r="HE579" s="133"/>
      <c r="HF579" s="133"/>
      <c r="HG579" s="133"/>
      <c r="HH579" s="133"/>
      <c r="HI579" s="133"/>
      <c r="HJ579" s="133"/>
      <c r="HK579" s="133"/>
      <c r="HL579" s="133"/>
      <c r="HM579" s="133"/>
      <c r="HN579" s="133"/>
      <c r="HO579" s="133"/>
      <c r="HP579" s="133"/>
      <c r="HQ579" s="133"/>
      <c r="HR579" s="133"/>
      <c r="HS579" s="133"/>
      <c r="HT579" s="133"/>
      <c r="HU579" s="133"/>
      <c r="HV579" s="133"/>
      <c r="HW579" s="133"/>
      <c r="HX579" s="133"/>
      <c r="HY579" s="133"/>
      <c r="HZ579" s="133"/>
      <c r="IA579" s="133"/>
      <c r="IB579" s="133"/>
      <c r="IC579" s="133"/>
      <c r="ID579" s="133"/>
      <c r="IE579" s="133"/>
      <c r="IF579" s="133"/>
      <c r="IG579" s="133"/>
      <c r="IH579" s="133"/>
      <c r="II579" s="133"/>
      <c r="IJ579" s="133"/>
      <c r="IK579" s="133"/>
      <c r="IL579" s="133"/>
      <c r="IM579" s="133"/>
      <c r="IN579" s="133"/>
      <c r="IO579" s="133"/>
      <c r="IP579" s="133"/>
      <c r="IQ579" s="133"/>
      <c r="IR579" s="133"/>
      <c r="IS579" s="133"/>
      <c r="IT579" s="133"/>
      <c r="IU579" s="133"/>
      <c r="IV579" s="133"/>
    </row>
    <row r="580" spans="1:256" s="132" customFormat="1" ht="13.8">
      <c r="A580" s="133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GE580" s="133"/>
      <c r="GF580" s="133"/>
      <c r="GG580" s="133"/>
      <c r="GH580" s="133"/>
      <c r="GI580" s="133"/>
      <c r="GJ580" s="133"/>
      <c r="GK580" s="133"/>
      <c r="GL580" s="133"/>
      <c r="GM580" s="133"/>
      <c r="GN580" s="133"/>
      <c r="GO580" s="133"/>
      <c r="GP580" s="133"/>
      <c r="GQ580" s="133"/>
      <c r="GR580" s="133"/>
      <c r="GS580" s="133"/>
      <c r="GT580" s="133"/>
      <c r="GU580" s="133"/>
      <c r="GV580" s="133"/>
      <c r="GW580" s="133"/>
      <c r="GX580" s="133"/>
      <c r="GY580" s="133"/>
      <c r="GZ580" s="133"/>
      <c r="HA580" s="133"/>
      <c r="HB580" s="133"/>
      <c r="HC580" s="133"/>
      <c r="HD580" s="133"/>
      <c r="HE580" s="133"/>
      <c r="HF580" s="133"/>
      <c r="HG580" s="133"/>
      <c r="HH580" s="133"/>
      <c r="HI580" s="133"/>
      <c r="HJ580" s="133"/>
      <c r="HK580" s="133"/>
      <c r="HL580" s="133"/>
      <c r="HM580" s="133"/>
      <c r="HN580" s="133"/>
      <c r="HO580" s="133"/>
      <c r="HP580" s="133"/>
      <c r="HQ580" s="133"/>
      <c r="HR580" s="133"/>
      <c r="HS580" s="133"/>
      <c r="HT580" s="133"/>
      <c r="HU580" s="133"/>
      <c r="HV580" s="133"/>
      <c r="HW580" s="133"/>
      <c r="HX580" s="133"/>
      <c r="HY580" s="133"/>
      <c r="HZ580" s="133"/>
      <c r="IA580" s="133"/>
      <c r="IB580" s="133"/>
      <c r="IC580" s="133"/>
      <c r="ID580" s="133"/>
      <c r="IE580" s="133"/>
      <c r="IF580" s="133"/>
      <c r="IG580" s="133"/>
      <c r="IH580" s="133"/>
      <c r="II580" s="133"/>
      <c r="IJ580" s="133"/>
      <c r="IK580" s="133"/>
      <c r="IL580" s="133"/>
      <c r="IM580" s="133"/>
      <c r="IN580" s="133"/>
      <c r="IO580" s="133"/>
      <c r="IP580" s="133"/>
      <c r="IQ580" s="133"/>
      <c r="IR580" s="133"/>
      <c r="IS580" s="133"/>
      <c r="IT580" s="133"/>
      <c r="IU580" s="133"/>
      <c r="IV580" s="133"/>
    </row>
    <row r="581" spans="1:256" s="132" customFormat="1" ht="13.8">
      <c r="A581" s="133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GE581" s="133"/>
      <c r="GF581" s="133"/>
      <c r="GG581" s="133"/>
      <c r="GH581" s="133"/>
      <c r="GI581" s="133"/>
      <c r="GJ581" s="133"/>
      <c r="GK581" s="133"/>
      <c r="GL581" s="133"/>
      <c r="GM581" s="133"/>
      <c r="GN581" s="133"/>
      <c r="GO581" s="133"/>
      <c r="GP581" s="133"/>
      <c r="GQ581" s="133"/>
      <c r="GR581" s="133"/>
      <c r="GS581" s="133"/>
      <c r="GT581" s="133"/>
      <c r="GU581" s="133"/>
      <c r="GV581" s="133"/>
      <c r="GW581" s="133"/>
      <c r="GX581" s="133"/>
      <c r="GY581" s="133"/>
      <c r="GZ581" s="133"/>
      <c r="HA581" s="133"/>
      <c r="HB581" s="133"/>
      <c r="HC581" s="133"/>
      <c r="HD581" s="133"/>
      <c r="HE581" s="133"/>
      <c r="HF581" s="133"/>
      <c r="HG581" s="133"/>
      <c r="HH581" s="133"/>
      <c r="HI581" s="133"/>
      <c r="HJ581" s="133"/>
      <c r="HK581" s="133"/>
      <c r="HL581" s="133"/>
      <c r="HM581" s="133"/>
      <c r="HN581" s="133"/>
      <c r="HO581" s="133"/>
      <c r="HP581" s="133"/>
      <c r="HQ581" s="133"/>
      <c r="HR581" s="133"/>
      <c r="HS581" s="133"/>
      <c r="HT581" s="133"/>
      <c r="HU581" s="133"/>
      <c r="HV581" s="133"/>
      <c r="HW581" s="133"/>
      <c r="HX581" s="133"/>
      <c r="HY581" s="133"/>
      <c r="HZ581" s="133"/>
      <c r="IA581" s="133"/>
      <c r="IB581" s="133"/>
      <c r="IC581" s="133"/>
      <c r="ID581" s="133"/>
      <c r="IE581" s="133"/>
      <c r="IF581" s="133"/>
      <c r="IG581" s="133"/>
      <c r="IH581" s="133"/>
      <c r="II581" s="133"/>
      <c r="IJ581" s="133"/>
      <c r="IK581" s="133"/>
      <c r="IL581" s="133"/>
      <c r="IM581" s="133"/>
      <c r="IN581" s="133"/>
      <c r="IO581" s="133"/>
      <c r="IP581" s="133"/>
      <c r="IQ581" s="133"/>
      <c r="IR581" s="133"/>
      <c r="IS581" s="133"/>
      <c r="IT581" s="133"/>
      <c r="IU581" s="133"/>
      <c r="IV581" s="133"/>
    </row>
    <row r="582" spans="1:256" s="132" customFormat="1" ht="13.8">
      <c r="A582" s="133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GE582" s="133"/>
      <c r="GF582" s="133"/>
      <c r="GG582" s="133"/>
      <c r="GH582" s="133"/>
      <c r="GI582" s="133"/>
      <c r="GJ582" s="133"/>
      <c r="GK582" s="133"/>
      <c r="GL582" s="133"/>
      <c r="GM582" s="133"/>
      <c r="GN582" s="133"/>
      <c r="GO582" s="133"/>
      <c r="GP582" s="133"/>
      <c r="GQ582" s="133"/>
      <c r="GR582" s="133"/>
      <c r="GS582" s="133"/>
      <c r="GT582" s="133"/>
      <c r="GU582" s="133"/>
      <c r="GV582" s="133"/>
      <c r="GW582" s="133"/>
      <c r="GX582" s="133"/>
      <c r="GY582" s="133"/>
      <c r="GZ582" s="133"/>
      <c r="HA582" s="133"/>
      <c r="HB582" s="133"/>
      <c r="HC582" s="133"/>
      <c r="HD582" s="133"/>
      <c r="HE582" s="133"/>
      <c r="HF582" s="133"/>
      <c r="HG582" s="133"/>
      <c r="HH582" s="133"/>
      <c r="HI582" s="133"/>
      <c r="HJ582" s="133"/>
      <c r="HK582" s="133"/>
      <c r="HL582" s="133"/>
      <c r="HM582" s="133"/>
      <c r="HN582" s="133"/>
      <c r="HO582" s="133"/>
      <c r="HP582" s="133"/>
      <c r="HQ582" s="133"/>
      <c r="HR582" s="133"/>
      <c r="HS582" s="133"/>
      <c r="HT582" s="133"/>
      <c r="HU582" s="133"/>
      <c r="HV582" s="133"/>
      <c r="HW582" s="133"/>
      <c r="HX582" s="133"/>
      <c r="HY582" s="133"/>
      <c r="HZ582" s="133"/>
      <c r="IA582" s="133"/>
      <c r="IB582" s="133"/>
      <c r="IC582" s="133"/>
      <c r="ID582" s="133"/>
      <c r="IE582" s="133"/>
      <c r="IF582" s="133"/>
      <c r="IG582" s="133"/>
      <c r="IH582" s="133"/>
      <c r="II582" s="133"/>
      <c r="IJ582" s="133"/>
      <c r="IK582" s="133"/>
      <c r="IL582" s="133"/>
      <c r="IM582" s="133"/>
      <c r="IN582" s="133"/>
      <c r="IO582" s="133"/>
      <c r="IP582" s="133"/>
      <c r="IQ582" s="133"/>
      <c r="IR582" s="133"/>
      <c r="IS582" s="133"/>
      <c r="IT582" s="133"/>
      <c r="IU582" s="133"/>
      <c r="IV582" s="133"/>
    </row>
    <row r="583" spans="1:256" s="132" customFormat="1" ht="13.8">
      <c r="A583" s="133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GE583" s="133"/>
      <c r="GF583" s="133"/>
      <c r="GG583" s="133"/>
      <c r="GH583" s="133"/>
      <c r="GI583" s="133"/>
      <c r="GJ583" s="133"/>
      <c r="GK583" s="133"/>
      <c r="GL583" s="133"/>
      <c r="GM583" s="133"/>
      <c r="GN583" s="133"/>
      <c r="GO583" s="133"/>
      <c r="GP583" s="133"/>
      <c r="GQ583" s="133"/>
      <c r="GR583" s="133"/>
      <c r="GS583" s="133"/>
      <c r="GT583" s="133"/>
      <c r="GU583" s="133"/>
      <c r="GV583" s="133"/>
      <c r="GW583" s="133"/>
      <c r="GX583" s="133"/>
      <c r="GY583" s="133"/>
      <c r="GZ583" s="133"/>
      <c r="HA583" s="133"/>
      <c r="HB583" s="133"/>
      <c r="HC583" s="133"/>
      <c r="HD583" s="133"/>
      <c r="HE583" s="133"/>
      <c r="HF583" s="133"/>
      <c r="HG583" s="133"/>
      <c r="HH583" s="133"/>
      <c r="HI583" s="133"/>
      <c r="HJ583" s="133"/>
      <c r="HK583" s="133"/>
      <c r="HL583" s="133"/>
      <c r="HM583" s="133"/>
      <c r="HN583" s="133"/>
      <c r="HO583" s="133"/>
      <c r="HP583" s="133"/>
      <c r="HQ583" s="133"/>
      <c r="HR583" s="133"/>
      <c r="HS583" s="133"/>
      <c r="HT583" s="133"/>
      <c r="HU583" s="133"/>
      <c r="HV583" s="133"/>
      <c r="HW583" s="133"/>
      <c r="HX583" s="133"/>
      <c r="HY583" s="133"/>
      <c r="HZ583" s="133"/>
      <c r="IA583" s="133"/>
      <c r="IB583" s="133"/>
      <c r="IC583" s="133"/>
      <c r="ID583" s="133"/>
      <c r="IE583" s="133"/>
      <c r="IF583" s="133"/>
      <c r="IG583" s="133"/>
      <c r="IH583" s="133"/>
      <c r="II583" s="133"/>
      <c r="IJ583" s="133"/>
      <c r="IK583" s="133"/>
      <c r="IL583" s="133"/>
      <c r="IM583" s="133"/>
      <c r="IN583" s="133"/>
      <c r="IO583" s="133"/>
      <c r="IP583" s="133"/>
      <c r="IQ583" s="133"/>
      <c r="IR583" s="133"/>
      <c r="IS583" s="133"/>
      <c r="IT583" s="133"/>
      <c r="IU583" s="133"/>
      <c r="IV583" s="133"/>
    </row>
    <row r="584" spans="1:256" s="132" customFormat="1" ht="13.8">
      <c r="A584" s="133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GE584" s="133"/>
      <c r="GF584" s="133"/>
      <c r="GG584" s="133"/>
      <c r="GH584" s="133"/>
      <c r="GI584" s="133"/>
      <c r="GJ584" s="133"/>
      <c r="GK584" s="133"/>
      <c r="GL584" s="133"/>
      <c r="GM584" s="133"/>
      <c r="GN584" s="133"/>
      <c r="GO584" s="133"/>
      <c r="GP584" s="133"/>
      <c r="GQ584" s="133"/>
      <c r="GR584" s="133"/>
      <c r="GS584" s="133"/>
      <c r="GT584" s="133"/>
      <c r="GU584" s="133"/>
      <c r="GV584" s="133"/>
      <c r="GW584" s="133"/>
      <c r="GX584" s="133"/>
      <c r="GY584" s="133"/>
      <c r="GZ584" s="133"/>
      <c r="HA584" s="133"/>
      <c r="HB584" s="133"/>
      <c r="HC584" s="133"/>
      <c r="HD584" s="133"/>
      <c r="HE584" s="133"/>
      <c r="HF584" s="133"/>
      <c r="HG584" s="133"/>
      <c r="HH584" s="133"/>
      <c r="HI584" s="133"/>
      <c r="HJ584" s="133"/>
      <c r="HK584" s="133"/>
      <c r="HL584" s="133"/>
      <c r="HM584" s="133"/>
      <c r="HN584" s="133"/>
      <c r="HO584" s="133"/>
      <c r="HP584" s="133"/>
      <c r="HQ584" s="133"/>
      <c r="HR584" s="133"/>
      <c r="HS584" s="133"/>
      <c r="HT584" s="133"/>
      <c r="HU584" s="133"/>
      <c r="HV584" s="133"/>
      <c r="HW584" s="133"/>
      <c r="HX584" s="133"/>
      <c r="HY584" s="133"/>
      <c r="HZ584" s="133"/>
      <c r="IA584" s="133"/>
      <c r="IB584" s="133"/>
      <c r="IC584" s="133"/>
      <c r="ID584" s="133"/>
      <c r="IE584" s="133"/>
      <c r="IF584" s="133"/>
      <c r="IG584" s="133"/>
      <c r="IH584" s="133"/>
      <c r="II584" s="133"/>
      <c r="IJ584" s="133"/>
      <c r="IK584" s="133"/>
      <c r="IL584" s="133"/>
      <c r="IM584" s="133"/>
      <c r="IN584" s="133"/>
      <c r="IO584" s="133"/>
      <c r="IP584" s="133"/>
      <c r="IQ584" s="133"/>
      <c r="IR584" s="133"/>
      <c r="IS584" s="133"/>
      <c r="IT584" s="133"/>
      <c r="IU584" s="133"/>
      <c r="IV584" s="133"/>
    </row>
    <row r="585" spans="1:256" s="132" customFormat="1" ht="13.8">
      <c r="A585" s="133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GE585" s="133"/>
      <c r="GF585" s="133"/>
      <c r="GG585" s="133"/>
      <c r="GH585" s="133"/>
      <c r="GI585" s="133"/>
      <c r="GJ585" s="133"/>
      <c r="GK585" s="133"/>
      <c r="GL585" s="133"/>
      <c r="GM585" s="133"/>
      <c r="GN585" s="133"/>
      <c r="GO585" s="133"/>
      <c r="GP585" s="133"/>
      <c r="GQ585" s="133"/>
      <c r="GR585" s="133"/>
      <c r="GS585" s="133"/>
      <c r="GT585" s="133"/>
      <c r="GU585" s="133"/>
      <c r="GV585" s="133"/>
      <c r="GW585" s="133"/>
      <c r="GX585" s="133"/>
      <c r="GY585" s="133"/>
      <c r="GZ585" s="133"/>
      <c r="HA585" s="133"/>
      <c r="HB585" s="133"/>
      <c r="HC585" s="133"/>
      <c r="HD585" s="133"/>
      <c r="HE585" s="133"/>
      <c r="HF585" s="133"/>
      <c r="HG585" s="133"/>
      <c r="HH585" s="133"/>
      <c r="HI585" s="133"/>
      <c r="HJ585" s="133"/>
      <c r="HK585" s="133"/>
      <c r="HL585" s="133"/>
      <c r="HM585" s="133"/>
      <c r="HN585" s="133"/>
      <c r="HO585" s="133"/>
      <c r="HP585" s="133"/>
      <c r="HQ585" s="133"/>
      <c r="HR585" s="133"/>
      <c r="HS585" s="133"/>
      <c r="HT585" s="133"/>
      <c r="HU585" s="133"/>
      <c r="HV585" s="133"/>
      <c r="HW585" s="133"/>
      <c r="HX585" s="133"/>
      <c r="HY585" s="133"/>
      <c r="HZ585" s="133"/>
      <c r="IA585" s="133"/>
      <c r="IB585" s="133"/>
      <c r="IC585" s="133"/>
      <c r="ID585" s="133"/>
      <c r="IE585" s="133"/>
      <c r="IF585" s="133"/>
      <c r="IG585" s="133"/>
      <c r="IH585" s="133"/>
      <c r="II585" s="133"/>
      <c r="IJ585" s="133"/>
      <c r="IK585" s="133"/>
      <c r="IL585" s="133"/>
      <c r="IM585" s="133"/>
      <c r="IN585" s="133"/>
      <c r="IO585" s="133"/>
      <c r="IP585" s="133"/>
      <c r="IQ585" s="133"/>
      <c r="IR585" s="133"/>
      <c r="IS585" s="133"/>
      <c r="IT585" s="133"/>
      <c r="IU585" s="133"/>
      <c r="IV585" s="133"/>
    </row>
    <row r="586" spans="1:256" s="132" customFormat="1" ht="13.8">
      <c r="A586" s="133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GE586" s="133"/>
      <c r="GF586" s="133"/>
      <c r="GG586" s="133"/>
      <c r="GH586" s="133"/>
      <c r="GI586" s="133"/>
      <c r="GJ586" s="133"/>
      <c r="GK586" s="133"/>
      <c r="GL586" s="133"/>
      <c r="GM586" s="133"/>
      <c r="GN586" s="133"/>
      <c r="GO586" s="133"/>
      <c r="GP586" s="133"/>
      <c r="GQ586" s="133"/>
      <c r="GR586" s="133"/>
      <c r="GS586" s="133"/>
      <c r="GT586" s="133"/>
      <c r="GU586" s="133"/>
      <c r="GV586" s="133"/>
      <c r="GW586" s="133"/>
      <c r="GX586" s="133"/>
      <c r="GY586" s="133"/>
      <c r="GZ586" s="133"/>
      <c r="HA586" s="133"/>
      <c r="HB586" s="133"/>
      <c r="HC586" s="133"/>
      <c r="HD586" s="133"/>
      <c r="HE586" s="133"/>
      <c r="HF586" s="133"/>
      <c r="HG586" s="133"/>
      <c r="HH586" s="133"/>
      <c r="HI586" s="133"/>
      <c r="HJ586" s="133"/>
      <c r="HK586" s="133"/>
      <c r="HL586" s="133"/>
      <c r="HM586" s="133"/>
      <c r="HN586" s="133"/>
      <c r="HO586" s="133"/>
      <c r="HP586" s="133"/>
      <c r="HQ586" s="133"/>
      <c r="HR586" s="133"/>
      <c r="HS586" s="133"/>
      <c r="HT586" s="133"/>
      <c r="HU586" s="133"/>
      <c r="HV586" s="133"/>
      <c r="HW586" s="133"/>
      <c r="HX586" s="133"/>
      <c r="HY586" s="133"/>
      <c r="HZ586" s="133"/>
      <c r="IA586" s="133"/>
      <c r="IB586" s="133"/>
      <c r="IC586" s="133"/>
      <c r="ID586" s="133"/>
      <c r="IE586" s="133"/>
      <c r="IF586" s="133"/>
      <c r="IG586" s="133"/>
      <c r="IH586" s="133"/>
      <c r="II586" s="133"/>
      <c r="IJ586" s="133"/>
      <c r="IK586" s="133"/>
      <c r="IL586" s="133"/>
      <c r="IM586" s="133"/>
      <c r="IN586" s="133"/>
      <c r="IO586" s="133"/>
      <c r="IP586" s="133"/>
      <c r="IQ586" s="133"/>
      <c r="IR586" s="133"/>
      <c r="IS586" s="133"/>
      <c r="IT586" s="133"/>
      <c r="IU586" s="133"/>
      <c r="IV586" s="133"/>
    </row>
    <row r="587" spans="1:256" s="132" customFormat="1" ht="13.8">
      <c r="A587" s="133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GE587" s="133"/>
      <c r="GF587" s="133"/>
      <c r="GG587" s="133"/>
      <c r="GH587" s="133"/>
      <c r="GI587" s="133"/>
      <c r="GJ587" s="133"/>
      <c r="GK587" s="133"/>
      <c r="GL587" s="133"/>
      <c r="GM587" s="133"/>
      <c r="GN587" s="133"/>
      <c r="GO587" s="133"/>
      <c r="GP587" s="133"/>
      <c r="GQ587" s="133"/>
      <c r="GR587" s="133"/>
      <c r="GS587" s="133"/>
      <c r="GT587" s="133"/>
      <c r="GU587" s="133"/>
      <c r="GV587" s="133"/>
      <c r="GW587" s="133"/>
      <c r="GX587" s="133"/>
      <c r="GY587" s="133"/>
      <c r="GZ587" s="133"/>
      <c r="HA587" s="133"/>
      <c r="HB587" s="133"/>
      <c r="HC587" s="133"/>
      <c r="HD587" s="133"/>
      <c r="HE587" s="133"/>
      <c r="HF587" s="133"/>
      <c r="HG587" s="133"/>
      <c r="HH587" s="133"/>
      <c r="HI587" s="133"/>
      <c r="HJ587" s="133"/>
      <c r="HK587" s="133"/>
      <c r="HL587" s="133"/>
      <c r="HM587" s="133"/>
      <c r="HN587" s="133"/>
      <c r="HO587" s="133"/>
      <c r="HP587" s="133"/>
      <c r="HQ587" s="133"/>
      <c r="HR587" s="133"/>
      <c r="HS587" s="133"/>
      <c r="HT587" s="133"/>
      <c r="HU587" s="133"/>
      <c r="HV587" s="133"/>
      <c r="HW587" s="133"/>
      <c r="HX587" s="133"/>
      <c r="HY587" s="133"/>
      <c r="HZ587" s="133"/>
      <c r="IA587" s="133"/>
      <c r="IB587" s="133"/>
      <c r="IC587" s="133"/>
      <c r="ID587" s="133"/>
      <c r="IE587" s="133"/>
      <c r="IF587" s="133"/>
      <c r="IG587" s="133"/>
      <c r="IH587" s="133"/>
      <c r="II587" s="133"/>
      <c r="IJ587" s="133"/>
      <c r="IK587" s="133"/>
      <c r="IL587" s="133"/>
      <c r="IM587" s="133"/>
      <c r="IN587" s="133"/>
      <c r="IO587" s="133"/>
      <c r="IP587" s="133"/>
      <c r="IQ587" s="133"/>
      <c r="IR587" s="133"/>
      <c r="IS587" s="133"/>
      <c r="IT587" s="133"/>
      <c r="IU587" s="133"/>
      <c r="IV587" s="133"/>
    </row>
    <row r="588" spans="1:256" s="132" customFormat="1" ht="13.8">
      <c r="A588" s="133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GE588" s="133"/>
      <c r="GF588" s="133"/>
      <c r="GG588" s="133"/>
      <c r="GH588" s="133"/>
      <c r="GI588" s="133"/>
      <c r="GJ588" s="133"/>
      <c r="GK588" s="133"/>
      <c r="GL588" s="133"/>
      <c r="GM588" s="133"/>
      <c r="GN588" s="133"/>
      <c r="GO588" s="133"/>
      <c r="GP588" s="133"/>
      <c r="GQ588" s="133"/>
      <c r="GR588" s="133"/>
      <c r="GS588" s="133"/>
      <c r="GT588" s="133"/>
      <c r="GU588" s="133"/>
      <c r="GV588" s="133"/>
      <c r="GW588" s="133"/>
      <c r="GX588" s="133"/>
      <c r="GY588" s="133"/>
      <c r="GZ588" s="133"/>
      <c r="HA588" s="133"/>
      <c r="HB588" s="133"/>
      <c r="HC588" s="133"/>
      <c r="HD588" s="133"/>
      <c r="HE588" s="133"/>
      <c r="HF588" s="133"/>
      <c r="HG588" s="133"/>
      <c r="HH588" s="133"/>
      <c r="HI588" s="133"/>
      <c r="HJ588" s="133"/>
      <c r="HK588" s="133"/>
      <c r="HL588" s="133"/>
      <c r="HM588" s="133"/>
      <c r="HN588" s="133"/>
      <c r="HO588" s="133"/>
      <c r="HP588" s="133"/>
      <c r="HQ588" s="133"/>
      <c r="HR588" s="133"/>
      <c r="HS588" s="133"/>
      <c r="HT588" s="133"/>
      <c r="HU588" s="133"/>
      <c r="HV588" s="133"/>
      <c r="HW588" s="133"/>
      <c r="HX588" s="133"/>
      <c r="HY588" s="133"/>
      <c r="HZ588" s="133"/>
      <c r="IA588" s="133"/>
      <c r="IB588" s="133"/>
      <c r="IC588" s="133"/>
      <c r="ID588" s="133"/>
      <c r="IE588" s="133"/>
      <c r="IF588" s="133"/>
      <c r="IG588" s="133"/>
      <c r="IH588" s="133"/>
      <c r="II588" s="133"/>
      <c r="IJ588" s="133"/>
      <c r="IK588" s="133"/>
      <c r="IL588" s="133"/>
      <c r="IM588" s="133"/>
      <c r="IN588" s="133"/>
      <c r="IO588" s="133"/>
      <c r="IP588" s="133"/>
      <c r="IQ588" s="133"/>
      <c r="IR588" s="133"/>
      <c r="IS588" s="133"/>
      <c r="IT588" s="133"/>
      <c r="IU588" s="133"/>
      <c r="IV588" s="133"/>
    </row>
    <row r="589" spans="1:256" s="132" customFormat="1" ht="13.8">
      <c r="A589" s="133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GE589" s="133"/>
      <c r="GF589" s="133"/>
      <c r="GG589" s="133"/>
      <c r="GH589" s="133"/>
      <c r="GI589" s="133"/>
      <c r="GJ589" s="133"/>
      <c r="GK589" s="133"/>
      <c r="GL589" s="133"/>
      <c r="GM589" s="133"/>
      <c r="GN589" s="133"/>
      <c r="GO589" s="133"/>
      <c r="GP589" s="133"/>
      <c r="GQ589" s="133"/>
      <c r="GR589" s="133"/>
      <c r="GS589" s="133"/>
      <c r="GT589" s="133"/>
      <c r="GU589" s="133"/>
      <c r="GV589" s="133"/>
      <c r="GW589" s="133"/>
      <c r="GX589" s="133"/>
      <c r="GY589" s="133"/>
      <c r="GZ589" s="133"/>
      <c r="HA589" s="133"/>
      <c r="HB589" s="133"/>
      <c r="HC589" s="133"/>
      <c r="HD589" s="133"/>
      <c r="HE589" s="133"/>
      <c r="HF589" s="133"/>
      <c r="HG589" s="133"/>
      <c r="HH589" s="133"/>
      <c r="HI589" s="133"/>
      <c r="HJ589" s="133"/>
      <c r="HK589" s="133"/>
      <c r="HL589" s="133"/>
      <c r="HM589" s="133"/>
      <c r="HN589" s="133"/>
      <c r="HO589" s="133"/>
      <c r="HP589" s="133"/>
      <c r="HQ589" s="133"/>
      <c r="HR589" s="133"/>
      <c r="HS589" s="133"/>
      <c r="HT589" s="133"/>
      <c r="HU589" s="133"/>
      <c r="HV589" s="133"/>
      <c r="HW589" s="133"/>
      <c r="HX589" s="133"/>
      <c r="HY589" s="133"/>
      <c r="HZ589" s="133"/>
      <c r="IA589" s="133"/>
      <c r="IB589" s="133"/>
      <c r="IC589" s="133"/>
      <c r="ID589" s="133"/>
      <c r="IE589" s="133"/>
      <c r="IF589" s="133"/>
      <c r="IG589" s="133"/>
      <c r="IH589" s="133"/>
      <c r="II589" s="133"/>
      <c r="IJ589" s="133"/>
      <c r="IK589" s="133"/>
      <c r="IL589" s="133"/>
      <c r="IM589" s="133"/>
      <c r="IN589" s="133"/>
      <c r="IO589" s="133"/>
      <c r="IP589" s="133"/>
      <c r="IQ589" s="133"/>
      <c r="IR589" s="133"/>
      <c r="IS589" s="133"/>
      <c r="IT589" s="133"/>
      <c r="IU589" s="133"/>
      <c r="IV589" s="133"/>
    </row>
    <row r="590" spans="1:256" s="132" customFormat="1" ht="13.8">
      <c r="A590" s="133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GE590" s="133"/>
      <c r="GF590" s="133"/>
      <c r="GG590" s="133"/>
      <c r="GH590" s="133"/>
      <c r="GI590" s="133"/>
      <c r="GJ590" s="133"/>
      <c r="GK590" s="133"/>
      <c r="GL590" s="133"/>
      <c r="GM590" s="133"/>
      <c r="GN590" s="133"/>
      <c r="GO590" s="133"/>
      <c r="GP590" s="133"/>
      <c r="GQ590" s="133"/>
      <c r="GR590" s="133"/>
      <c r="GS590" s="133"/>
      <c r="GT590" s="133"/>
      <c r="GU590" s="133"/>
      <c r="GV590" s="133"/>
      <c r="GW590" s="133"/>
      <c r="GX590" s="133"/>
      <c r="GY590" s="133"/>
      <c r="GZ590" s="133"/>
      <c r="HA590" s="133"/>
      <c r="HB590" s="133"/>
      <c r="HC590" s="133"/>
      <c r="HD590" s="133"/>
      <c r="HE590" s="133"/>
      <c r="HF590" s="133"/>
      <c r="HG590" s="133"/>
      <c r="HH590" s="133"/>
      <c r="HI590" s="133"/>
      <c r="HJ590" s="133"/>
      <c r="HK590" s="133"/>
      <c r="HL590" s="133"/>
      <c r="HM590" s="133"/>
      <c r="HN590" s="133"/>
      <c r="HO590" s="133"/>
      <c r="HP590" s="133"/>
      <c r="HQ590" s="133"/>
      <c r="HR590" s="133"/>
      <c r="HS590" s="133"/>
      <c r="HT590" s="133"/>
      <c r="HU590" s="133"/>
      <c r="HV590" s="133"/>
      <c r="HW590" s="133"/>
      <c r="HX590" s="133"/>
      <c r="HY590" s="133"/>
      <c r="HZ590" s="133"/>
      <c r="IA590" s="133"/>
      <c r="IB590" s="133"/>
      <c r="IC590" s="133"/>
      <c r="ID590" s="133"/>
      <c r="IE590" s="133"/>
      <c r="IF590" s="133"/>
      <c r="IG590" s="133"/>
      <c r="IH590" s="133"/>
      <c r="II590" s="133"/>
      <c r="IJ590" s="133"/>
      <c r="IK590" s="133"/>
      <c r="IL590" s="133"/>
      <c r="IM590" s="133"/>
      <c r="IN590" s="133"/>
      <c r="IO590" s="133"/>
      <c r="IP590" s="133"/>
      <c r="IQ590" s="133"/>
      <c r="IR590" s="133"/>
      <c r="IS590" s="133"/>
      <c r="IT590" s="133"/>
      <c r="IU590" s="133"/>
      <c r="IV590" s="133"/>
    </row>
    <row r="591" spans="1:256" s="132" customFormat="1" ht="13.8">
      <c r="A591" s="133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GE591" s="133"/>
      <c r="GF591" s="133"/>
      <c r="GG591" s="133"/>
      <c r="GH591" s="133"/>
      <c r="GI591" s="133"/>
      <c r="GJ591" s="133"/>
      <c r="GK591" s="133"/>
      <c r="GL591" s="133"/>
      <c r="GM591" s="133"/>
      <c r="GN591" s="133"/>
      <c r="GO591" s="133"/>
      <c r="GP591" s="133"/>
      <c r="GQ591" s="133"/>
      <c r="GR591" s="133"/>
      <c r="GS591" s="133"/>
      <c r="GT591" s="133"/>
      <c r="GU591" s="133"/>
      <c r="GV591" s="133"/>
      <c r="GW591" s="133"/>
      <c r="GX591" s="133"/>
      <c r="GY591" s="133"/>
      <c r="GZ591" s="133"/>
      <c r="HA591" s="133"/>
      <c r="HB591" s="133"/>
      <c r="HC591" s="133"/>
      <c r="HD591" s="133"/>
      <c r="HE591" s="133"/>
      <c r="HF591" s="133"/>
      <c r="HG591" s="133"/>
      <c r="HH591" s="133"/>
      <c r="HI591" s="133"/>
      <c r="HJ591" s="133"/>
      <c r="HK591" s="133"/>
      <c r="HL591" s="133"/>
      <c r="HM591" s="133"/>
      <c r="HN591" s="133"/>
      <c r="HO591" s="133"/>
      <c r="HP591" s="133"/>
      <c r="HQ591" s="133"/>
      <c r="HR591" s="133"/>
      <c r="HS591" s="133"/>
      <c r="HT591" s="133"/>
      <c r="HU591" s="133"/>
      <c r="HV591" s="133"/>
      <c r="HW591" s="133"/>
      <c r="HX591" s="133"/>
      <c r="HY591" s="133"/>
      <c r="HZ591" s="133"/>
      <c r="IA591" s="133"/>
      <c r="IB591" s="133"/>
      <c r="IC591" s="133"/>
      <c r="ID591" s="133"/>
      <c r="IE591" s="133"/>
      <c r="IF591" s="133"/>
      <c r="IG591" s="133"/>
      <c r="IH591" s="133"/>
      <c r="II591" s="133"/>
      <c r="IJ591" s="133"/>
      <c r="IK591" s="133"/>
      <c r="IL591" s="133"/>
      <c r="IM591" s="133"/>
      <c r="IN591" s="133"/>
      <c r="IO591" s="133"/>
      <c r="IP591" s="133"/>
      <c r="IQ591" s="133"/>
      <c r="IR591" s="133"/>
      <c r="IS591" s="133"/>
      <c r="IT591" s="133"/>
      <c r="IU591" s="133"/>
      <c r="IV591" s="133"/>
    </row>
    <row r="592" spans="1:256" s="132" customFormat="1" ht="13.8">
      <c r="A592" s="133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GE592" s="133"/>
      <c r="GF592" s="133"/>
      <c r="GG592" s="133"/>
      <c r="GH592" s="133"/>
      <c r="GI592" s="133"/>
      <c r="GJ592" s="133"/>
      <c r="GK592" s="133"/>
      <c r="GL592" s="133"/>
      <c r="GM592" s="133"/>
      <c r="GN592" s="133"/>
      <c r="GO592" s="133"/>
      <c r="GP592" s="133"/>
      <c r="GQ592" s="133"/>
      <c r="GR592" s="133"/>
      <c r="GS592" s="133"/>
      <c r="GT592" s="133"/>
      <c r="GU592" s="133"/>
      <c r="GV592" s="133"/>
      <c r="GW592" s="133"/>
      <c r="GX592" s="133"/>
      <c r="GY592" s="133"/>
      <c r="GZ592" s="133"/>
      <c r="HA592" s="133"/>
      <c r="HB592" s="133"/>
      <c r="HC592" s="133"/>
      <c r="HD592" s="133"/>
      <c r="HE592" s="133"/>
      <c r="HF592" s="133"/>
      <c r="HG592" s="133"/>
      <c r="HH592" s="133"/>
      <c r="HI592" s="133"/>
      <c r="HJ592" s="133"/>
      <c r="HK592" s="133"/>
      <c r="HL592" s="133"/>
      <c r="HM592" s="133"/>
      <c r="HN592" s="133"/>
      <c r="HO592" s="133"/>
      <c r="HP592" s="133"/>
      <c r="HQ592" s="133"/>
      <c r="HR592" s="133"/>
      <c r="HS592" s="133"/>
      <c r="HT592" s="133"/>
      <c r="HU592" s="133"/>
      <c r="HV592" s="133"/>
      <c r="HW592" s="133"/>
      <c r="HX592" s="133"/>
      <c r="HY592" s="133"/>
      <c r="HZ592" s="133"/>
      <c r="IA592" s="133"/>
      <c r="IB592" s="133"/>
      <c r="IC592" s="133"/>
      <c r="ID592" s="133"/>
      <c r="IE592" s="133"/>
      <c r="IF592" s="133"/>
      <c r="IG592" s="133"/>
      <c r="IH592" s="133"/>
      <c r="II592" s="133"/>
      <c r="IJ592" s="133"/>
      <c r="IK592" s="133"/>
      <c r="IL592" s="133"/>
      <c r="IM592" s="133"/>
      <c r="IN592" s="133"/>
      <c r="IO592" s="133"/>
      <c r="IP592" s="133"/>
      <c r="IQ592" s="133"/>
      <c r="IR592" s="133"/>
      <c r="IS592" s="133"/>
      <c r="IT592" s="133"/>
      <c r="IU592" s="133"/>
      <c r="IV592" s="133"/>
    </row>
    <row r="593" spans="1:256" s="132" customFormat="1" ht="13.8">
      <c r="A593" s="133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GE593" s="133"/>
      <c r="GF593" s="133"/>
      <c r="GG593" s="133"/>
      <c r="GH593" s="133"/>
      <c r="GI593" s="133"/>
      <c r="GJ593" s="133"/>
      <c r="GK593" s="133"/>
      <c r="GL593" s="133"/>
      <c r="GM593" s="133"/>
      <c r="GN593" s="133"/>
      <c r="GO593" s="133"/>
      <c r="GP593" s="133"/>
      <c r="GQ593" s="133"/>
      <c r="GR593" s="133"/>
      <c r="GS593" s="133"/>
      <c r="GT593" s="133"/>
      <c r="GU593" s="133"/>
      <c r="GV593" s="133"/>
      <c r="GW593" s="133"/>
      <c r="GX593" s="133"/>
      <c r="GY593" s="133"/>
      <c r="GZ593" s="133"/>
      <c r="HA593" s="133"/>
      <c r="HB593" s="133"/>
      <c r="HC593" s="133"/>
      <c r="HD593" s="133"/>
      <c r="HE593" s="133"/>
      <c r="HF593" s="133"/>
      <c r="HG593" s="133"/>
      <c r="HH593" s="133"/>
      <c r="HI593" s="133"/>
      <c r="HJ593" s="133"/>
      <c r="HK593" s="133"/>
      <c r="HL593" s="133"/>
      <c r="HM593" s="133"/>
      <c r="HN593" s="133"/>
      <c r="HO593" s="133"/>
      <c r="HP593" s="133"/>
      <c r="HQ593" s="133"/>
      <c r="HR593" s="133"/>
      <c r="HS593" s="133"/>
      <c r="HT593" s="133"/>
      <c r="HU593" s="133"/>
      <c r="HV593" s="133"/>
      <c r="HW593" s="133"/>
      <c r="HX593" s="133"/>
      <c r="HY593" s="133"/>
      <c r="HZ593" s="133"/>
      <c r="IA593" s="133"/>
      <c r="IB593" s="133"/>
      <c r="IC593" s="133"/>
      <c r="ID593" s="133"/>
      <c r="IE593" s="133"/>
      <c r="IF593" s="133"/>
      <c r="IG593" s="133"/>
      <c r="IH593" s="133"/>
      <c r="II593" s="133"/>
      <c r="IJ593" s="133"/>
      <c r="IK593" s="133"/>
      <c r="IL593" s="133"/>
      <c r="IM593" s="133"/>
      <c r="IN593" s="133"/>
      <c r="IO593" s="133"/>
      <c r="IP593" s="133"/>
      <c r="IQ593" s="133"/>
      <c r="IR593" s="133"/>
      <c r="IS593" s="133"/>
      <c r="IT593" s="133"/>
      <c r="IU593" s="133"/>
      <c r="IV593" s="133"/>
    </row>
    <row r="594" spans="1:256" s="132" customFormat="1" ht="13.8">
      <c r="A594" s="133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GE594" s="133"/>
      <c r="GF594" s="133"/>
      <c r="GG594" s="133"/>
      <c r="GH594" s="133"/>
      <c r="GI594" s="133"/>
      <c r="GJ594" s="133"/>
      <c r="GK594" s="133"/>
      <c r="GL594" s="133"/>
      <c r="GM594" s="133"/>
      <c r="GN594" s="133"/>
      <c r="GO594" s="133"/>
      <c r="GP594" s="133"/>
      <c r="GQ594" s="133"/>
      <c r="GR594" s="133"/>
      <c r="GS594" s="133"/>
      <c r="GT594" s="133"/>
      <c r="GU594" s="133"/>
      <c r="GV594" s="133"/>
      <c r="GW594" s="133"/>
      <c r="GX594" s="133"/>
      <c r="GY594" s="133"/>
      <c r="GZ594" s="133"/>
      <c r="HA594" s="133"/>
      <c r="HB594" s="133"/>
      <c r="HC594" s="133"/>
      <c r="HD594" s="133"/>
      <c r="HE594" s="133"/>
      <c r="HF594" s="133"/>
      <c r="HG594" s="133"/>
      <c r="HH594" s="133"/>
      <c r="HI594" s="133"/>
      <c r="HJ594" s="133"/>
      <c r="HK594" s="133"/>
      <c r="HL594" s="133"/>
      <c r="HM594" s="133"/>
      <c r="HN594" s="133"/>
      <c r="HO594" s="133"/>
      <c r="HP594" s="133"/>
      <c r="HQ594" s="133"/>
      <c r="HR594" s="133"/>
      <c r="HS594" s="133"/>
      <c r="HT594" s="133"/>
      <c r="HU594" s="133"/>
      <c r="HV594" s="133"/>
      <c r="HW594" s="133"/>
      <c r="HX594" s="133"/>
      <c r="HY594" s="133"/>
      <c r="HZ594" s="133"/>
      <c r="IA594" s="133"/>
      <c r="IB594" s="133"/>
      <c r="IC594" s="133"/>
      <c r="ID594" s="133"/>
      <c r="IE594" s="133"/>
      <c r="IF594" s="133"/>
      <c r="IG594" s="133"/>
      <c r="IH594" s="133"/>
      <c r="II594" s="133"/>
      <c r="IJ594" s="133"/>
      <c r="IK594" s="133"/>
      <c r="IL594" s="133"/>
      <c r="IM594" s="133"/>
      <c r="IN594" s="133"/>
      <c r="IO594" s="133"/>
      <c r="IP594" s="133"/>
      <c r="IQ594" s="133"/>
      <c r="IR594" s="133"/>
      <c r="IS594" s="133"/>
      <c r="IT594" s="133"/>
      <c r="IU594" s="133"/>
      <c r="IV594" s="133"/>
    </row>
    <row r="595" spans="1:256" s="132" customFormat="1" ht="13.8">
      <c r="A595" s="133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GE595" s="133"/>
      <c r="GF595" s="133"/>
      <c r="GG595" s="133"/>
      <c r="GH595" s="133"/>
      <c r="GI595" s="133"/>
      <c r="GJ595" s="133"/>
      <c r="GK595" s="133"/>
      <c r="GL595" s="133"/>
      <c r="GM595" s="133"/>
      <c r="GN595" s="133"/>
      <c r="GO595" s="133"/>
      <c r="GP595" s="133"/>
      <c r="GQ595" s="133"/>
      <c r="GR595" s="133"/>
      <c r="GS595" s="133"/>
      <c r="GT595" s="133"/>
      <c r="GU595" s="133"/>
      <c r="GV595" s="133"/>
      <c r="GW595" s="133"/>
      <c r="GX595" s="133"/>
      <c r="GY595" s="133"/>
      <c r="GZ595" s="133"/>
      <c r="HA595" s="133"/>
      <c r="HB595" s="133"/>
      <c r="HC595" s="133"/>
      <c r="HD595" s="133"/>
      <c r="HE595" s="133"/>
      <c r="HF595" s="133"/>
      <c r="HG595" s="133"/>
      <c r="HH595" s="133"/>
      <c r="HI595" s="133"/>
      <c r="HJ595" s="133"/>
      <c r="HK595" s="133"/>
      <c r="HL595" s="133"/>
      <c r="HM595" s="133"/>
      <c r="HN595" s="133"/>
      <c r="HO595" s="133"/>
      <c r="HP595" s="133"/>
      <c r="HQ595" s="133"/>
      <c r="HR595" s="133"/>
      <c r="HS595" s="133"/>
      <c r="HT595" s="133"/>
      <c r="HU595" s="133"/>
      <c r="HV595" s="133"/>
      <c r="HW595" s="133"/>
      <c r="HX595" s="133"/>
      <c r="HY595" s="133"/>
      <c r="HZ595" s="133"/>
      <c r="IA595" s="133"/>
      <c r="IB595" s="133"/>
      <c r="IC595" s="133"/>
      <c r="ID595" s="133"/>
      <c r="IE595" s="133"/>
      <c r="IF595" s="133"/>
      <c r="IG595" s="133"/>
      <c r="IH595" s="133"/>
      <c r="II595" s="133"/>
      <c r="IJ595" s="133"/>
      <c r="IK595" s="133"/>
      <c r="IL595" s="133"/>
      <c r="IM595" s="133"/>
      <c r="IN595" s="133"/>
      <c r="IO595" s="133"/>
      <c r="IP595" s="133"/>
      <c r="IQ595" s="133"/>
      <c r="IR595" s="133"/>
      <c r="IS595" s="133"/>
      <c r="IT595" s="133"/>
      <c r="IU595" s="133"/>
      <c r="IV595" s="133"/>
    </row>
    <row r="596" spans="1:256" s="132" customFormat="1" ht="13.8">
      <c r="A596" s="133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GE596" s="133"/>
      <c r="GF596" s="133"/>
      <c r="GG596" s="133"/>
      <c r="GH596" s="133"/>
      <c r="GI596" s="133"/>
      <c r="GJ596" s="133"/>
      <c r="GK596" s="133"/>
      <c r="GL596" s="133"/>
      <c r="GM596" s="133"/>
      <c r="GN596" s="133"/>
      <c r="GO596" s="133"/>
      <c r="GP596" s="133"/>
      <c r="GQ596" s="133"/>
      <c r="GR596" s="133"/>
      <c r="GS596" s="133"/>
      <c r="GT596" s="133"/>
      <c r="GU596" s="133"/>
      <c r="GV596" s="133"/>
      <c r="GW596" s="133"/>
      <c r="GX596" s="133"/>
      <c r="GY596" s="133"/>
      <c r="GZ596" s="133"/>
      <c r="HA596" s="133"/>
      <c r="HB596" s="133"/>
      <c r="HC596" s="133"/>
      <c r="HD596" s="133"/>
      <c r="HE596" s="133"/>
      <c r="HF596" s="133"/>
      <c r="HG596" s="133"/>
      <c r="HH596" s="133"/>
      <c r="HI596" s="133"/>
      <c r="HJ596" s="133"/>
      <c r="HK596" s="133"/>
      <c r="HL596" s="133"/>
      <c r="HM596" s="133"/>
      <c r="HN596" s="133"/>
      <c r="HO596" s="133"/>
      <c r="HP596" s="133"/>
      <c r="HQ596" s="133"/>
      <c r="HR596" s="133"/>
      <c r="HS596" s="133"/>
      <c r="HT596" s="133"/>
      <c r="HU596" s="133"/>
      <c r="HV596" s="133"/>
      <c r="HW596" s="133"/>
      <c r="HX596" s="133"/>
      <c r="HY596" s="133"/>
      <c r="HZ596" s="133"/>
      <c r="IA596" s="133"/>
      <c r="IB596" s="133"/>
      <c r="IC596" s="133"/>
      <c r="ID596" s="133"/>
      <c r="IE596" s="133"/>
      <c r="IF596" s="133"/>
      <c r="IG596" s="133"/>
      <c r="IH596" s="133"/>
      <c r="II596" s="133"/>
      <c r="IJ596" s="133"/>
      <c r="IK596" s="133"/>
      <c r="IL596" s="133"/>
      <c r="IM596" s="133"/>
      <c r="IN596" s="133"/>
      <c r="IO596" s="133"/>
      <c r="IP596" s="133"/>
      <c r="IQ596" s="133"/>
      <c r="IR596" s="133"/>
      <c r="IS596" s="133"/>
      <c r="IT596" s="133"/>
      <c r="IU596" s="133"/>
      <c r="IV596" s="133"/>
    </row>
    <row r="597" spans="1:256" s="132" customFormat="1" ht="13.8">
      <c r="A597" s="133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GE597" s="133"/>
      <c r="GF597" s="133"/>
      <c r="GG597" s="133"/>
      <c r="GH597" s="133"/>
      <c r="GI597" s="133"/>
      <c r="GJ597" s="133"/>
      <c r="GK597" s="133"/>
      <c r="GL597" s="133"/>
      <c r="GM597" s="133"/>
      <c r="GN597" s="133"/>
      <c r="GO597" s="133"/>
      <c r="GP597" s="133"/>
      <c r="GQ597" s="133"/>
      <c r="GR597" s="133"/>
      <c r="GS597" s="133"/>
      <c r="GT597" s="133"/>
      <c r="GU597" s="133"/>
      <c r="GV597" s="133"/>
      <c r="GW597" s="133"/>
      <c r="GX597" s="133"/>
      <c r="GY597" s="133"/>
      <c r="GZ597" s="133"/>
      <c r="HA597" s="133"/>
      <c r="HB597" s="133"/>
      <c r="HC597" s="133"/>
      <c r="HD597" s="133"/>
      <c r="HE597" s="133"/>
      <c r="HF597" s="133"/>
      <c r="HG597" s="133"/>
      <c r="HH597" s="133"/>
      <c r="HI597" s="133"/>
      <c r="HJ597" s="133"/>
      <c r="HK597" s="133"/>
      <c r="HL597" s="133"/>
      <c r="HM597" s="133"/>
      <c r="HN597" s="133"/>
      <c r="HO597" s="133"/>
      <c r="HP597" s="133"/>
      <c r="HQ597" s="133"/>
      <c r="HR597" s="133"/>
      <c r="HS597" s="133"/>
      <c r="HT597" s="133"/>
      <c r="HU597" s="133"/>
      <c r="HV597" s="133"/>
      <c r="HW597" s="133"/>
      <c r="HX597" s="133"/>
      <c r="HY597" s="133"/>
      <c r="HZ597" s="133"/>
      <c r="IA597" s="133"/>
      <c r="IB597" s="133"/>
      <c r="IC597" s="133"/>
      <c r="ID597" s="133"/>
      <c r="IE597" s="133"/>
      <c r="IF597" s="133"/>
      <c r="IG597" s="133"/>
      <c r="IH597" s="133"/>
      <c r="II597" s="133"/>
      <c r="IJ597" s="133"/>
      <c r="IK597" s="133"/>
      <c r="IL597" s="133"/>
      <c r="IM597" s="133"/>
      <c r="IN597" s="133"/>
      <c r="IO597" s="133"/>
      <c r="IP597" s="133"/>
      <c r="IQ597" s="133"/>
      <c r="IR597" s="133"/>
      <c r="IS597" s="133"/>
      <c r="IT597" s="133"/>
      <c r="IU597" s="133"/>
      <c r="IV597" s="133"/>
    </row>
    <row r="598" spans="1:256" s="132" customFormat="1" ht="13.8">
      <c r="A598" s="133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GE598" s="133"/>
      <c r="GF598" s="133"/>
      <c r="GG598" s="133"/>
      <c r="GH598" s="133"/>
      <c r="GI598" s="133"/>
      <c r="GJ598" s="133"/>
      <c r="GK598" s="133"/>
      <c r="GL598" s="133"/>
      <c r="GM598" s="133"/>
      <c r="GN598" s="133"/>
      <c r="GO598" s="133"/>
      <c r="GP598" s="133"/>
      <c r="GQ598" s="133"/>
      <c r="GR598" s="133"/>
      <c r="GS598" s="133"/>
      <c r="GT598" s="133"/>
      <c r="GU598" s="133"/>
      <c r="GV598" s="133"/>
      <c r="GW598" s="133"/>
      <c r="GX598" s="133"/>
      <c r="GY598" s="133"/>
      <c r="GZ598" s="133"/>
      <c r="HA598" s="133"/>
      <c r="HB598" s="133"/>
      <c r="HC598" s="133"/>
      <c r="HD598" s="133"/>
      <c r="HE598" s="133"/>
      <c r="HF598" s="133"/>
      <c r="HG598" s="133"/>
      <c r="HH598" s="133"/>
      <c r="HI598" s="133"/>
      <c r="HJ598" s="133"/>
      <c r="HK598" s="133"/>
      <c r="HL598" s="133"/>
      <c r="HM598" s="133"/>
      <c r="HN598" s="133"/>
      <c r="HO598" s="133"/>
      <c r="HP598" s="133"/>
      <c r="HQ598" s="133"/>
      <c r="HR598" s="133"/>
      <c r="HS598" s="133"/>
      <c r="HT598" s="133"/>
      <c r="HU598" s="133"/>
      <c r="HV598" s="133"/>
      <c r="HW598" s="133"/>
      <c r="HX598" s="133"/>
      <c r="HY598" s="133"/>
      <c r="HZ598" s="133"/>
      <c r="IA598" s="133"/>
      <c r="IB598" s="133"/>
      <c r="IC598" s="133"/>
      <c r="ID598" s="133"/>
      <c r="IE598" s="133"/>
      <c r="IF598" s="133"/>
      <c r="IG598" s="133"/>
      <c r="IH598" s="133"/>
      <c r="II598" s="133"/>
      <c r="IJ598" s="133"/>
      <c r="IK598" s="133"/>
      <c r="IL598" s="133"/>
      <c r="IM598" s="133"/>
      <c r="IN598" s="133"/>
      <c r="IO598" s="133"/>
      <c r="IP598" s="133"/>
      <c r="IQ598" s="133"/>
      <c r="IR598" s="133"/>
      <c r="IS598" s="133"/>
      <c r="IT598" s="133"/>
      <c r="IU598" s="133"/>
      <c r="IV598" s="133"/>
    </row>
    <row r="599" spans="1:256" s="132" customFormat="1" ht="13.8">
      <c r="A599" s="133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GE599" s="133"/>
      <c r="GF599" s="133"/>
      <c r="GG599" s="133"/>
      <c r="GH599" s="133"/>
      <c r="GI599" s="133"/>
      <c r="GJ599" s="133"/>
      <c r="GK599" s="133"/>
      <c r="GL599" s="133"/>
      <c r="GM599" s="133"/>
      <c r="GN599" s="133"/>
      <c r="GO599" s="133"/>
      <c r="GP599" s="133"/>
      <c r="GQ599" s="133"/>
      <c r="GR599" s="133"/>
      <c r="GS599" s="133"/>
      <c r="GT599" s="133"/>
      <c r="GU599" s="133"/>
      <c r="GV599" s="133"/>
      <c r="GW599" s="133"/>
      <c r="GX599" s="133"/>
      <c r="GY599" s="133"/>
      <c r="GZ599" s="133"/>
      <c r="HA599" s="133"/>
      <c r="HB599" s="133"/>
      <c r="HC599" s="133"/>
      <c r="HD599" s="133"/>
      <c r="HE599" s="133"/>
      <c r="HF599" s="133"/>
      <c r="HG599" s="133"/>
      <c r="HH599" s="133"/>
      <c r="HI599" s="133"/>
      <c r="HJ599" s="133"/>
      <c r="HK599" s="133"/>
      <c r="HL599" s="133"/>
      <c r="HM599" s="133"/>
      <c r="HN599" s="133"/>
      <c r="HO599" s="133"/>
      <c r="HP599" s="133"/>
      <c r="HQ599" s="133"/>
      <c r="HR599" s="133"/>
      <c r="HS599" s="133"/>
      <c r="HT599" s="133"/>
      <c r="HU599" s="133"/>
      <c r="HV599" s="133"/>
      <c r="HW599" s="133"/>
      <c r="HX599" s="133"/>
      <c r="HY599" s="133"/>
      <c r="HZ599" s="133"/>
      <c r="IA599" s="133"/>
      <c r="IB599" s="133"/>
      <c r="IC599" s="133"/>
      <c r="ID599" s="133"/>
      <c r="IE599" s="133"/>
      <c r="IF599" s="133"/>
      <c r="IG599" s="133"/>
      <c r="IH599" s="133"/>
      <c r="II599" s="133"/>
      <c r="IJ599" s="133"/>
      <c r="IK599" s="133"/>
      <c r="IL599" s="133"/>
      <c r="IM599" s="133"/>
      <c r="IN599" s="133"/>
      <c r="IO599" s="133"/>
      <c r="IP599" s="133"/>
      <c r="IQ599" s="133"/>
      <c r="IR599" s="133"/>
      <c r="IS599" s="133"/>
      <c r="IT599" s="133"/>
      <c r="IU599" s="133"/>
      <c r="IV599" s="133"/>
    </row>
    <row r="600" spans="1:256" s="132" customFormat="1" ht="13.8">
      <c r="A600" s="133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GE600" s="133"/>
      <c r="GF600" s="133"/>
      <c r="GG600" s="133"/>
      <c r="GH600" s="133"/>
      <c r="GI600" s="133"/>
      <c r="GJ600" s="133"/>
      <c r="GK600" s="133"/>
      <c r="GL600" s="133"/>
      <c r="GM600" s="133"/>
      <c r="GN600" s="133"/>
      <c r="GO600" s="133"/>
      <c r="GP600" s="133"/>
      <c r="GQ600" s="133"/>
      <c r="GR600" s="133"/>
      <c r="GS600" s="133"/>
      <c r="GT600" s="133"/>
      <c r="GU600" s="133"/>
      <c r="GV600" s="133"/>
      <c r="GW600" s="133"/>
      <c r="GX600" s="133"/>
      <c r="GY600" s="133"/>
      <c r="GZ600" s="133"/>
      <c r="HA600" s="133"/>
      <c r="HB600" s="133"/>
      <c r="HC600" s="133"/>
      <c r="HD600" s="133"/>
      <c r="HE600" s="133"/>
      <c r="HF600" s="133"/>
      <c r="HG600" s="133"/>
      <c r="HH600" s="133"/>
      <c r="HI600" s="133"/>
      <c r="HJ600" s="133"/>
      <c r="HK600" s="133"/>
      <c r="HL600" s="133"/>
      <c r="HM600" s="133"/>
      <c r="HN600" s="133"/>
      <c r="HO600" s="133"/>
      <c r="HP600" s="133"/>
      <c r="HQ600" s="133"/>
      <c r="HR600" s="133"/>
      <c r="HS600" s="133"/>
      <c r="HT600" s="133"/>
      <c r="HU600" s="133"/>
      <c r="HV600" s="133"/>
      <c r="HW600" s="133"/>
      <c r="HX600" s="133"/>
      <c r="HY600" s="133"/>
      <c r="HZ600" s="133"/>
      <c r="IA600" s="133"/>
      <c r="IB600" s="133"/>
      <c r="IC600" s="133"/>
      <c r="ID600" s="133"/>
      <c r="IE600" s="133"/>
      <c r="IF600" s="133"/>
      <c r="IG600" s="133"/>
      <c r="IH600" s="133"/>
      <c r="II600" s="133"/>
      <c r="IJ600" s="133"/>
      <c r="IK600" s="133"/>
      <c r="IL600" s="133"/>
      <c r="IM600" s="133"/>
      <c r="IN600" s="133"/>
      <c r="IO600" s="133"/>
      <c r="IP600" s="133"/>
      <c r="IQ600" s="133"/>
      <c r="IR600" s="133"/>
      <c r="IS600" s="133"/>
      <c r="IT600" s="133"/>
      <c r="IU600" s="133"/>
      <c r="IV600" s="133"/>
    </row>
    <row r="601" spans="1:256" s="132" customFormat="1" ht="13.8">
      <c r="A601" s="133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GE601" s="133"/>
      <c r="GF601" s="133"/>
      <c r="GG601" s="133"/>
      <c r="GH601" s="133"/>
      <c r="GI601" s="133"/>
      <c r="GJ601" s="133"/>
      <c r="GK601" s="133"/>
      <c r="GL601" s="133"/>
      <c r="GM601" s="133"/>
      <c r="GN601" s="133"/>
      <c r="GO601" s="133"/>
      <c r="GP601" s="133"/>
      <c r="GQ601" s="133"/>
      <c r="GR601" s="133"/>
      <c r="GS601" s="133"/>
      <c r="GT601" s="133"/>
      <c r="GU601" s="133"/>
      <c r="GV601" s="133"/>
      <c r="GW601" s="133"/>
      <c r="GX601" s="133"/>
      <c r="GY601" s="133"/>
      <c r="GZ601" s="133"/>
      <c r="HA601" s="133"/>
      <c r="HB601" s="133"/>
      <c r="HC601" s="133"/>
      <c r="HD601" s="133"/>
      <c r="HE601" s="133"/>
      <c r="HF601" s="133"/>
      <c r="HG601" s="133"/>
      <c r="HH601" s="133"/>
      <c r="HI601" s="133"/>
      <c r="HJ601" s="133"/>
      <c r="HK601" s="133"/>
      <c r="HL601" s="133"/>
      <c r="HM601" s="133"/>
      <c r="HN601" s="133"/>
      <c r="HO601" s="133"/>
      <c r="HP601" s="133"/>
      <c r="HQ601" s="133"/>
      <c r="HR601" s="133"/>
      <c r="HS601" s="133"/>
      <c r="HT601" s="133"/>
      <c r="HU601" s="133"/>
      <c r="HV601" s="133"/>
      <c r="HW601" s="133"/>
      <c r="HX601" s="133"/>
      <c r="HY601" s="133"/>
      <c r="HZ601" s="133"/>
      <c r="IA601" s="133"/>
      <c r="IB601" s="133"/>
      <c r="IC601" s="133"/>
      <c r="ID601" s="133"/>
      <c r="IE601" s="133"/>
      <c r="IF601" s="133"/>
      <c r="IG601" s="133"/>
      <c r="IH601" s="133"/>
      <c r="II601" s="133"/>
      <c r="IJ601" s="133"/>
      <c r="IK601" s="133"/>
      <c r="IL601" s="133"/>
      <c r="IM601" s="133"/>
      <c r="IN601" s="133"/>
      <c r="IO601" s="133"/>
      <c r="IP601" s="133"/>
      <c r="IQ601" s="133"/>
      <c r="IR601" s="133"/>
      <c r="IS601" s="133"/>
      <c r="IT601" s="133"/>
      <c r="IU601" s="133"/>
      <c r="IV601" s="133"/>
    </row>
    <row r="602" spans="1:256" s="132" customFormat="1" ht="13.8">
      <c r="A602" s="133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GE602" s="133"/>
      <c r="GF602" s="133"/>
      <c r="GG602" s="133"/>
      <c r="GH602" s="133"/>
      <c r="GI602" s="133"/>
      <c r="GJ602" s="133"/>
      <c r="GK602" s="133"/>
      <c r="GL602" s="133"/>
      <c r="GM602" s="133"/>
      <c r="GN602" s="133"/>
      <c r="GO602" s="133"/>
      <c r="GP602" s="133"/>
      <c r="GQ602" s="133"/>
      <c r="GR602" s="133"/>
      <c r="GS602" s="133"/>
      <c r="GT602" s="133"/>
      <c r="GU602" s="133"/>
      <c r="GV602" s="133"/>
      <c r="GW602" s="133"/>
      <c r="GX602" s="133"/>
      <c r="GY602" s="133"/>
      <c r="GZ602" s="133"/>
      <c r="HA602" s="133"/>
      <c r="HB602" s="133"/>
      <c r="HC602" s="133"/>
      <c r="HD602" s="133"/>
      <c r="HE602" s="133"/>
      <c r="HF602" s="133"/>
      <c r="HG602" s="133"/>
      <c r="HH602" s="133"/>
      <c r="HI602" s="133"/>
      <c r="HJ602" s="133"/>
      <c r="HK602" s="133"/>
      <c r="HL602" s="133"/>
      <c r="HM602" s="133"/>
      <c r="HN602" s="133"/>
      <c r="HO602" s="133"/>
      <c r="HP602" s="133"/>
      <c r="HQ602" s="133"/>
      <c r="HR602" s="133"/>
      <c r="HS602" s="133"/>
      <c r="HT602" s="133"/>
      <c r="HU602" s="133"/>
      <c r="HV602" s="133"/>
      <c r="HW602" s="133"/>
      <c r="HX602" s="133"/>
      <c r="HY602" s="133"/>
      <c r="HZ602" s="133"/>
      <c r="IA602" s="133"/>
      <c r="IB602" s="133"/>
      <c r="IC602" s="133"/>
      <c r="ID602" s="133"/>
      <c r="IE602" s="133"/>
      <c r="IF602" s="133"/>
      <c r="IG602" s="133"/>
      <c r="IH602" s="133"/>
      <c r="II602" s="133"/>
      <c r="IJ602" s="133"/>
      <c r="IK602" s="133"/>
      <c r="IL602" s="133"/>
      <c r="IM602" s="133"/>
      <c r="IN602" s="133"/>
      <c r="IO602" s="133"/>
      <c r="IP602" s="133"/>
      <c r="IQ602" s="133"/>
      <c r="IR602" s="133"/>
      <c r="IS602" s="133"/>
      <c r="IT602" s="133"/>
      <c r="IU602" s="133"/>
      <c r="IV602" s="133"/>
    </row>
    <row r="603" spans="1:256" s="132" customFormat="1" ht="13.8">
      <c r="A603" s="133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GE603" s="133"/>
      <c r="GF603" s="133"/>
      <c r="GG603" s="133"/>
      <c r="GH603" s="133"/>
      <c r="GI603" s="133"/>
      <c r="GJ603" s="133"/>
      <c r="GK603" s="133"/>
      <c r="GL603" s="133"/>
      <c r="GM603" s="133"/>
      <c r="GN603" s="133"/>
      <c r="GO603" s="133"/>
      <c r="GP603" s="133"/>
      <c r="GQ603" s="133"/>
      <c r="GR603" s="133"/>
      <c r="GS603" s="133"/>
      <c r="GT603" s="133"/>
      <c r="GU603" s="133"/>
      <c r="GV603" s="133"/>
      <c r="GW603" s="133"/>
      <c r="GX603" s="133"/>
      <c r="GY603" s="133"/>
      <c r="GZ603" s="133"/>
      <c r="HA603" s="133"/>
      <c r="HB603" s="133"/>
      <c r="HC603" s="133"/>
      <c r="HD603" s="133"/>
      <c r="HE603" s="133"/>
      <c r="HF603" s="133"/>
      <c r="HG603" s="133"/>
      <c r="HH603" s="133"/>
      <c r="HI603" s="133"/>
      <c r="HJ603" s="133"/>
      <c r="HK603" s="133"/>
      <c r="HL603" s="133"/>
      <c r="HM603" s="133"/>
      <c r="HN603" s="133"/>
      <c r="HO603" s="133"/>
      <c r="HP603" s="133"/>
      <c r="HQ603" s="133"/>
      <c r="HR603" s="133"/>
      <c r="HS603" s="133"/>
      <c r="HT603" s="133"/>
      <c r="HU603" s="133"/>
      <c r="HV603" s="133"/>
      <c r="HW603" s="133"/>
      <c r="HX603" s="133"/>
      <c r="HY603" s="133"/>
      <c r="HZ603" s="133"/>
      <c r="IA603" s="133"/>
      <c r="IB603" s="133"/>
      <c r="IC603" s="133"/>
      <c r="ID603" s="133"/>
      <c r="IE603" s="133"/>
      <c r="IF603" s="133"/>
      <c r="IG603" s="133"/>
      <c r="IH603" s="133"/>
      <c r="II603" s="133"/>
      <c r="IJ603" s="133"/>
      <c r="IK603" s="133"/>
      <c r="IL603" s="133"/>
      <c r="IM603" s="133"/>
      <c r="IN603" s="133"/>
      <c r="IO603" s="133"/>
      <c r="IP603" s="133"/>
      <c r="IQ603" s="133"/>
      <c r="IR603" s="133"/>
      <c r="IS603" s="133"/>
      <c r="IT603" s="133"/>
      <c r="IU603" s="133"/>
      <c r="IV603" s="133"/>
    </row>
    <row r="604" spans="1:256" s="132" customFormat="1" ht="13.8">
      <c r="A604" s="133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GE604" s="133"/>
      <c r="GF604" s="133"/>
      <c r="GG604" s="133"/>
      <c r="GH604" s="133"/>
      <c r="GI604" s="133"/>
      <c r="GJ604" s="133"/>
      <c r="GK604" s="133"/>
      <c r="GL604" s="133"/>
      <c r="GM604" s="133"/>
      <c r="GN604" s="133"/>
      <c r="GO604" s="133"/>
      <c r="GP604" s="133"/>
      <c r="GQ604" s="133"/>
      <c r="GR604" s="133"/>
      <c r="GS604" s="133"/>
      <c r="GT604" s="133"/>
      <c r="GU604" s="133"/>
      <c r="GV604" s="133"/>
      <c r="GW604" s="133"/>
      <c r="GX604" s="133"/>
      <c r="GY604" s="133"/>
      <c r="GZ604" s="133"/>
      <c r="HA604" s="133"/>
      <c r="HB604" s="133"/>
      <c r="HC604" s="133"/>
      <c r="HD604" s="133"/>
      <c r="HE604" s="133"/>
      <c r="HF604" s="133"/>
      <c r="HG604" s="133"/>
      <c r="HH604" s="133"/>
      <c r="HI604" s="133"/>
      <c r="HJ604" s="133"/>
      <c r="HK604" s="133"/>
      <c r="HL604" s="133"/>
      <c r="HM604" s="133"/>
      <c r="HN604" s="133"/>
      <c r="HO604" s="133"/>
      <c r="HP604" s="133"/>
      <c r="HQ604" s="133"/>
      <c r="HR604" s="133"/>
      <c r="HS604" s="133"/>
      <c r="HT604" s="133"/>
      <c r="HU604" s="133"/>
      <c r="HV604" s="133"/>
      <c r="HW604" s="133"/>
      <c r="HX604" s="133"/>
      <c r="HY604" s="133"/>
      <c r="HZ604" s="133"/>
      <c r="IA604" s="133"/>
      <c r="IB604" s="133"/>
      <c r="IC604" s="133"/>
      <c r="ID604" s="133"/>
      <c r="IE604" s="133"/>
      <c r="IF604" s="133"/>
      <c r="IG604" s="133"/>
      <c r="IH604" s="133"/>
      <c r="II604" s="133"/>
      <c r="IJ604" s="133"/>
      <c r="IK604" s="133"/>
      <c r="IL604" s="133"/>
      <c r="IM604" s="133"/>
      <c r="IN604" s="133"/>
      <c r="IO604" s="133"/>
      <c r="IP604" s="133"/>
      <c r="IQ604" s="133"/>
      <c r="IR604" s="133"/>
      <c r="IS604" s="133"/>
      <c r="IT604" s="133"/>
      <c r="IU604" s="133"/>
      <c r="IV604" s="133"/>
    </row>
    <row r="605" spans="1:256" s="132" customFormat="1" ht="13.8">
      <c r="A605" s="133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GE605" s="133"/>
      <c r="GF605" s="133"/>
      <c r="GG605" s="133"/>
      <c r="GH605" s="133"/>
      <c r="GI605" s="133"/>
      <c r="GJ605" s="133"/>
      <c r="GK605" s="133"/>
      <c r="GL605" s="133"/>
      <c r="GM605" s="133"/>
      <c r="GN605" s="133"/>
      <c r="GO605" s="133"/>
      <c r="GP605" s="133"/>
      <c r="GQ605" s="133"/>
      <c r="GR605" s="133"/>
      <c r="GS605" s="133"/>
      <c r="GT605" s="133"/>
      <c r="GU605" s="133"/>
      <c r="GV605" s="133"/>
      <c r="GW605" s="133"/>
      <c r="GX605" s="133"/>
      <c r="GY605" s="133"/>
      <c r="GZ605" s="133"/>
      <c r="HA605" s="133"/>
      <c r="HB605" s="133"/>
      <c r="HC605" s="133"/>
      <c r="HD605" s="133"/>
      <c r="HE605" s="133"/>
      <c r="HF605" s="133"/>
      <c r="HG605" s="133"/>
      <c r="HH605" s="133"/>
      <c r="HI605" s="133"/>
      <c r="HJ605" s="133"/>
      <c r="HK605" s="133"/>
      <c r="HL605" s="133"/>
      <c r="HM605" s="133"/>
      <c r="HN605" s="133"/>
      <c r="HO605" s="133"/>
      <c r="HP605" s="133"/>
      <c r="HQ605" s="133"/>
      <c r="HR605" s="133"/>
      <c r="HS605" s="133"/>
      <c r="HT605" s="133"/>
      <c r="HU605" s="133"/>
      <c r="HV605" s="133"/>
      <c r="HW605" s="133"/>
      <c r="HX605" s="133"/>
      <c r="HY605" s="133"/>
      <c r="HZ605" s="133"/>
      <c r="IA605" s="133"/>
      <c r="IB605" s="133"/>
      <c r="IC605" s="133"/>
      <c r="ID605" s="133"/>
      <c r="IE605" s="133"/>
      <c r="IF605" s="133"/>
      <c r="IG605" s="133"/>
      <c r="IH605" s="133"/>
      <c r="II605" s="133"/>
      <c r="IJ605" s="133"/>
      <c r="IK605" s="133"/>
      <c r="IL605" s="133"/>
      <c r="IM605" s="133"/>
      <c r="IN605" s="133"/>
      <c r="IO605" s="133"/>
      <c r="IP605" s="133"/>
      <c r="IQ605" s="133"/>
      <c r="IR605" s="133"/>
      <c r="IS605" s="133"/>
      <c r="IT605" s="133"/>
      <c r="IU605" s="133"/>
      <c r="IV605" s="133"/>
    </row>
    <row r="606" spans="1:256" s="132" customFormat="1" ht="13.8">
      <c r="A606" s="133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GE606" s="133"/>
      <c r="GF606" s="133"/>
      <c r="GG606" s="133"/>
      <c r="GH606" s="133"/>
      <c r="GI606" s="133"/>
      <c r="GJ606" s="133"/>
      <c r="GK606" s="133"/>
      <c r="GL606" s="133"/>
      <c r="GM606" s="133"/>
      <c r="GN606" s="133"/>
      <c r="GO606" s="133"/>
      <c r="GP606" s="133"/>
      <c r="GQ606" s="133"/>
      <c r="GR606" s="133"/>
      <c r="GS606" s="133"/>
      <c r="GT606" s="133"/>
      <c r="GU606" s="133"/>
      <c r="GV606" s="133"/>
      <c r="GW606" s="133"/>
      <c r="GX606" s="133"/>
      <c r="GY606" s="133"/>
      <c r="GZ606" s="133"/>
      <c r="HA606" s="133"/>
      <c r="HB606" s="133"/>
      <c r="HC606" s="133"/>
      <c r="HD606" s="133"/>
      <c r="HE606" s="133"/>
      <c r="HF606" s="133"/>
      <c r="HG606" s="133"/>
      <c r="HH606" s="133"/>
      <c r="HI606" s="133"/>
      <c r="HJ606" s="133"/>
      <c r="HK606" s="133"/>
      <c r="HL606" s="133"/>
      <c r="HM606" s="133"/>
      <c r="HN606" s="133"/>
      <c r="HO606" s="133"/>
      <c r="HP606" s="133"/>
      <c r="HQ606" s="133"/>
      <c r="HR606" s="133"/>
      <c r="HS606" s="133"/>
      <c r="HT606" s="133"/>
      <c r="HU606" s="133"/>
      <c r="HV606" s="133"/>
      <c r="HW606" s="133"/>
      <c r="HX606" s="133"/>
      <c r="HY606" s="133"/>
      <c r="HZ606" s="133"/>
      <c r="IA606" s="133"/>
      <c r="IB606" s="133"/>
      <c r="IC606" s="133"/>
      <c r="ID606" s="133"/>
      <c r="IE606" s="133"/>
      <c r="IF606" s="133"/>
      <c r="IG606" s="133"/>
      <c r="IH606" s="133"/>
      <c r="II606" s="133"/>
      <c r="IJ606" s="133"/>
      <c r="IK606" s="133"/>
      <c r="IL606" s="133"/>
      <c r="IM606" s="133"/>
      <c r="IN606" s="133"/>
      <c r="IO606" s="133"/>
      <c r="IP606" s="133"/>
      <c r="IQ606" s="133"/>
      <c r="IR606" s="133"/>
      <c r="IS606" s="133"/>
      <c r="IT606" s="133"/>
      <c r="IU606" s="133"/>
      <c r="IV606" s="133"/>
    </row>
    <row r="607" spans="1:256" s="132" customFormat="1" ht="13.8">
      <c r="A607" s="133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GE607" s="133"/>
      <c r="GF607" s="133"/>
      <c r="GG607" s="133"/>
      <c r="GH607" s="133"/>
      <c r="GI607" s="133"/>
      <c r="GJ607" s="133"/>
      <c r="GK607" s="133"/>
      <c r="GL607" s="133"/>
      <c r="GM607" s="133"/>
      <c r="GN607" s="133"/>
      <c r="GO607" s="133"/>
      <c r="GP607" s="133"/>
      <c r="GQ607" s="133"/>
      <c r="GR607" s="133"/>
      <c r="GS607" s="133"/>
      <c r="GT607" s="133"/>
      <c r="GU607" s="133"/>
      <c r="GV607" s="133"/>
      <c r="GW607" s="133"/>
      <c r="GX607" s="133"/>
      <c r="GY607" s="133"/>
      <c r="GZ607" s="133"/>
      <c r="HA607" s="133"/>
      <c r="HB607" s="133"/>
      <c r="HC607" s="133"/>
      <c r="HD607" s="133"/>
      <c r="HE607" s="133"/>
      <c r="HF607" s="133"/>
      <c r="HG607" s="133"/>
      <c r="HH607" s="133"/>
      <c r="HI607" s="133"/>
      <c r="HJ607" s="133"/>
      <c r="HK607" s="133"/>
      <c r="HL607" s="133"/>
      <c r="HM607" s="133"/>
      <c r="HN607" s="133"/>
      <c r="HO607" s="133"/>
      <c r="HP607" s="133"/>
      <c r="HQ607" s="133"/>
      <c r="HR607" s="133"/>
      <c r="HS607" s="133"/>
      <c r="HT607" s="133"/>
      <c r="HU607" s="133"/>
      <c r="HV607" s="133"/>
      <c r="HW607" s="133"/>
      <c r="HX607" s="133"/>
      <c r="HY607" s="133"/>
      <c r="HZ607" s="133"/>
      <c r="IA607" s="133"/>
      <c r="IB607" s="133"/>
      <c r="IC607" s="133"/>
      <c r="ID607" s="133"/>
      <c r="IE607" s="133"/>
      <c r="IF607" s="133"/>
      <c r="IG607" s="133"/>
      <c r="IH607" s="133"/>
      <c r="II607" s="133"/>
      <c r="IJ607" s="133"/>
      <c r="IK607" s="133"/>
      <c r="IL607" s="133"/>
      <c r="IM607" s="133"/>
      <c r="IN607" s="133"/>
      <c r="IO607" s="133"/>
      <c r="IP607" s="133"/>
      <c r="IQ607" s="133"/>
      <c r="IR607" s="133"/>
      <c r="IS607" s="133"/>
      <c r="IT607" s="133"/>
      <c r="IU607" s="133"/>
      <c r="IV607" s="133"/>
    </row>
    <row r="608" spans="1:256" s="132" customFormat="1" ht="13.8">
      <c r="A608" s="133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GE608" s="133"/>
      <c r="GF608" s="133"/>
      <c r="GG608" s="133"/>
      <c r="GH608" s="133"/>
      <c r="GI608" s="133"/>
      <c r="GJ608" s="133"/>
      <c r="GK608" s="133"/>
      <c r="GL608" s="133"/>
      <c r="GM608" s="133"/>
      <c r="GN608" s="133"/>
      <c r="GO608" s="133"/>
      <c r="GP608" s="133"/>
      <c r="GQ608" s="133"/>
      <c r="GR608" s="133"/>
      <c r="GS608" s="133"/>
      <c r="GT608" s="133"/>
      <c r="GU608" s="133"/>
      <c r="GV608" s="133"/>
      <c r="GW608" s="133"/>
      <c r="GX608" s="133"/>
      <c r="GY608" s="133"/>
      <c r="GZ608" s="133"/>
      <c r="HA608" s="133"/>
      <c r="HB608" s="133"/>
      <c r="HC608" s="133"/>
      <c r="HD608" s="133"/>
      <c r="HE608" s="133"/>
      <c r="HF608" s="133"/>
      <c r="HG608" s="133"/>
      <c r="HH608" s="133"/>
      <c r="HI608" s="133"/>
      <c r="HJ608" s="133"/>
      <c r="HK608" s="133"/>
      <c r="HL608" s="133"/>
      <c r="HM608" s="133"/>
      <c r="HN608" s="133"/>
      <c r="HO608" s="133"/>
      <c r="HP608" s="133"/>
      <c r="HQ608" s="133"/>
      <c r="HR608" s="133"/>
      <c r="HS608" s="133"/>
      <c r="HT608" s="133"/>
      <c r="HU608" s="133"/>
      <c r="HV608" s="133"/>
      <c r="HW608" s="133"/>
      <c r="HX608" s="133"/>
      <c r="HY608" s="133"/>
      <c r="HZ608" s="133"/>
      <c r="IA608" s="133"/>
      <c r="IB608" s="133"/>
      <c r="IC608" s="133"/>
      <c r="ID608" s="133"/>
      <c r="IE608" s="133"/>
      <c r="IF608" s="133"/>
      <c r="IG608" s="133"/>
      <c r="IH608" s="133"/>
      <c r="II608" s="133"/>
      <c r="IJ608" s="133"/>
      <c r="IK608" s="133"/>
      <c r="IL608" s="133"/>
      <c r="IM608" s="133"/>
      <c r="IN608" s="133"/>
      <c r="IO608" s="133"/>
      <c r="IP608" s="133"/>
      <c r="IQ608" s="133"/>
      <c r="IR608" s="133"/>
      <c r="IS608" s="133"/>
      <c r="IT608" s="133"/>
      <c r="IU608" s="133"/>
      <c r="IV608" s="133"/>
    </row>
    <row r="609" spans="1:256" s="132" customFormat="1" ht="13.8">
      <c r="A609" s="133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GE609" s="133"/>
      <c r="GF609" s="133"/>
      <c r="GG609" s="133"/>
      <c r="GH609" s="133"/>
      <c r="GI609" s="133"/>
      <c r="GJ609" s="133"/>
      <c r="GK609" s="133"/>
      <c r="GL609" s="133"/>
      <c r="GM609" s="133"/>
      <c r="GN609" s="133"/>
      <c r="GO609" s="133"/>
      <c r="GP609" s="133"/>
      <c r="GQ609" s="133"/>
      <c r="GR609" s="133"/>
      <c r="GS609" s="133"/>
      <c r="GT609" s="133"/>
      <c r="GU609" s="133"/>
      <c r="GV609" s="133"/>
      <c r="GW609" s="133"/>
      <c r="GX609" s="133"/>
      <c r="GY609" s="133"/>
      <c r="GZ609" s="133"/>
      <c r="HA609" s="133"/>
      <c r="HB609" s="133"/>
      <c r="HC609" s="133"/>
      <c r="HD609" s="133"/>
      <c r="HE609" s="133"/>
      <c r="HF609" s="133"/>
      <c r="HG609" s="133"/>
      <c r="HH609" s="133"/>
      <c r="HI609" s="133"/>
      <c r="HJ609" s="133"/>
      <c r="HK609" s="133"/>
      <c r="HL609" s="133"/>
      <c r="HM609" s="133"/>
      <c r="HN609" s="133"/>
      <c r="HO609" s="133"/>
      <c r="HP609" s="133"/>
      <c r="HQ609" s="133"/>
      <c r="HR609" s="133"/>
      <c r="HS609" s="133"/>
      <c r="HT609" s="133"/>
      <c r="HU609" s="133"/>
      <c r="HV609" s="133"/>
      <c r="HW609" s="133"/>
      <c r="HX609" s="133"/>
      <c r="HY609" s="133"/>
      <c r="HZ609" s="133"/>
      <c r="IA609" s="133"/>
      <c r="IB609" s="133"/>
      <c r="IC609" s="133"/>
      <c r="ID609" s="133"/>
      <c r="IE609" s="133"/>
      <c r="IF609" s="133"/>
      <c r="IG609" s="133"/>
      <c r="IH609" s="133"/>
      <c r="II609" s="133"/>
      <c r="IJ609" s="133"/>
      <c r="IK609" s="133"/>
      <c r="IL609" s="133"/>
      <c r="IM609" s="133"/>
      <c r="IN609" s="133"/>
      <c r="IO609" s="133"/>
      <c r="IP609" s="133"/>
      <c r="IQ609" s="133"/>
      <c r="IR609" s="133"/>
      <c r="IS609" s="133"/>
      <c r="IT609" s="133"/>
      <c r="IU609" s="133"/>
      <c r="IV609" s="133"/>
    </row>
    <row r="610" spans="1:256" s="132" customFormat="1" ht="13.8">
      <c r="A610" s="133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GE610" s="133"/>
      <c r="GF610" s="133"/>
      <c r="GG610" s="133"/>
      <c r="GH610" s="133"/>
      <c r="GI610" s="133"/>
      <c r="GJ610" s="133"/>
      <c r="GK610" s="133"/>
      <c r="GL610" s="133"/>
      <c r="GM610" s="133"/>
      <c r="GN610" s="133"/>
      <c r="GO610" s="133"/>
      <c r="GP610" s="133"/>
      <c r="GQ610" s="133"/>
      <c r="GR610" s="133"/>
      <c r="GS610" s="133"/>
      <c r="GT610" s="133"/>
      <c r="GU610" s="133"/>
      <c r="GV610" s="133"/>
      <c r="GW610" s="133"/>
      <c r="GX610" s="133"/>
      <c r="GY610" s="133"/>
      <c r="GZ610" s="133"/>
      <c r="HA610" s="133"/>
      <c r="HB610" s="133"/>
      <c r="HC610" s="133"/>
      <c r="HD610" s="133"/>
      <c r="HE610" s="133"/>
      <c r="HF610" s="133"/>
      <c r="HG610" s="133"/>
      <c r="HH610" s="133"/>
      <c r="HI610" s="133"/>
      <c r="HJ610" s="133"/>
      <c r="HK610" s="133"/>
      <c r="HL610" s="133"/>
      <c r="HM610" s="133"/>
      <c r="HN610" s="133"/>
      <c r="HO610" s="133"/>
      <c r="HP610" s="133"/>
      <c r="HQ610" s="133"/>
      <c r="HR610" s="133"/>
      <c r="HS610" s="133"/>
      <c r="HT610" s="133"/>
      <c r="HU610" s="133"/>
      <c r="HV610" s="133"/>
      <c r="HW610" s="133"/>
      <c r="HX610" s="133"/>
      <c r="HY610" s="133"/>
      <c r="HZ610" s="133"/>
      <c r="IA610" s="133"/>
      <c r="IB610" s="133"/>
      <c r="IC610" s="133"/>
      <c r="ID610" s="133"/>
      <c r="IE610" s="133"/>
      <c r="IF610" s="133"/>
      <c r="IG610" s="133"/>
      <c r="IH610" s="133"/>
      <c r="II610" s="133"/>
      <c r="IJ610" s="133"/>
      <c r="IK610" s="133"/>
      <c r="IL610" s="133"/>
      <c r="IM610" s="133"/>
      <c r="IN610" s="133"/>
      <c r="IO610" s="133"/>
      <c r="IP610" s="133"/>
      <c r="IQ610" s="133"/>
      <c r="IR610" s="133"/>
      <c r="IS610" s="133"/>
      <c r="IT610" s="133"/>
      <c r="IU610" s="133"/>
      <c r="IV610" s="133"/>
    </row>
    <row r="611" spans="1:256" s="132" customFormat="1" ht="13.8">
      <c r="A611" s="133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GE611" s="133"/>
      <c r="GF611" s="133"/>
      <c r="GG611" s="133"/>
      <c r="GH611" s="133"/>
      <c r="GI611" s="133"/>
      <c r="GJ611" s="133"/>
      <c r="GK611" s="133"/>
      <c r="GL611" s="133"/>
      <c r="GM611" s="133"/>
      <c r="GN611" s="133"/>
      <c r="GO611" s="133"/>
      <c r="GP611" s="133"/>
      <c r="GQ611" s="133"/>
      <c r="GR611" s="133"/>
      <c r="GS611" s="133"/>
      <c r="GT611" s="133"/>
      <c r="GU611" s="133"/>
      <c r="GV611" s="133"/>
      <c r="GW611" s="133"/>
      <c r="GX611" s="133"/>
      <c r="GY611" s="133"/>
      <c r="GZ611" s="133"/>
      <c r="HA611" s="133"/>
      <c r="HB611" s="133"/>
      <c r="HC611" s="133"/>
      <c r="HD611" s="133"/>
      <c r="HE611" s="133"/>
      <c r="HF611" s="133"/>
      <c r="HG611" s="133"/>
      <c r="HH611" s="133"/>
      <c r="HI611" s="133"/>
      <c r="HJ611" s="133"/>
      <c r="HK611" s="133"/>
      <c r="HL611" s="133"/>
      <c r="HM611" s="133"/>
      <c r="HN611" s="133"/>
      <c r="HO611" s="133"/>
      <c r="HP611" s="133"/>
      <c r="HQ611" s="133"/>
      <c r="HR611" s="133"/>
      <c r="HS611" s="133"/>
      <c r="HT611" s="133"/>
      <c r="HU611" s="133"/>
      <c r="HV611" s="133"/>
      <c r="HW611" s="133"/>
      <c r="HX611" s="133"/>
      <c r="HY611" s="133"/>
      <c r="HZ611" s="133"/>
      <c r="IA611" s="133"/>
      <c r="IB611" s="133"/>
      <c r="IC611" s="133"/>
      <c r="ID611" s="133"/>
      <c r="IE611" s="133"/>
      <c r="IF611" s="133"/>
      <c r="IG611" s="133"/>
      <c r="IH611" s="133"/>
      <c r="II611" s="133"/>
      <c r="IJ611" s="133"/>
      <c r="IK611" s="133"/>
      <c r="IL611" s="133"/>
      <c r="IM611" s="133"/>
      <c r="IN611" s="133"/>
      <c r="IO611" s="133"/>
      <c r="IP611" s="133"/>
      <c r="IQ611" s="133"/>
      <c r="IR611" s="133"/>
      <c r="IS611" s="133"/>
      <c r="IT611" s="133"/>
      <c r="IU611" s="133"/>
      <c r="IV611" s="133"/>
    </row>
    <row r="612" spans="1:256" s="132" customFormat="1" ht="13.8">
      <c r="A612" s="133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GE612" s="133"/>
      <c r="GF612" s="133"/>
      <c r="GG612" s="133"/>
      <c r="GH612" s="133"/>
      <c r="GI612" s="133"/>
      <c r="GJ612" s="133"/>
      <c r="GK612" s="133"/>
      <c r="GL612" s="133"/>
      <c r="GM612" s="133"/>
      <c r="GN612" s="133"/>
      <c r="GO612" s="133"/>
      <c r="GP612" s="133"/>
      <c r="GQ612" s="133"/>
      <c r="GR612" s="133"/>
      <c r="GS612" s="133"/>
      <c r="GT612" s="133"/>
      <c r="GU612" s="133"/>
      <c r="GV612" s="133"/>
      <c r="GW612" s="133"/>
      <c r="GX612" s="133"/>
      <c r="GY612" s="133"/>
      <c r="GZ612" s="133"/>
      <c r="HA612" s="133"/>
      <c r="HB612" s="133"/>
      <c r="HC612" s="133"/>
      <c r="HD612" s="133"/>
      <c r="HE612" s="133"/>
      <c r="HF612" s="133"/>
      <c r="HG612" s="133"/>
      <c r="HH612" s="133"/>
      <c r="HI612" s="133"/>
      <c r="HJ612" s="133"/>
      <c r="HK612" s="133"/>
      <c r="HL612" s="133"/>
      <c r="HM612" s="133"/>
      <c r="HN612" s="133"/>
      <c r="HO612" s="133"/>
      <c r="HP612" s="133"/>
      <c r="HQ612" s="133"/>
      <c r="HR612" s="133"/>
      <c r="HS612" s="133"/>
      <c r="HT612" s="133"/>
      <c r="HU612" s="133"/>
      <c r="HV612" s="133"/>
      <c r="HW612" s="133"/>
      <c r="HX612" s="133"/>
      <c r="HY612" s="133"/>
      <c r="HZ612" s="133"/>
      <c r="IA612" s="133"/>
      <c r="IB612" s="133"/>
      <c r="IC612" s="133"/>
      <c r="ID612" s="133"/>
      <c r="IE612" s="133"/>
      <c r="IF612" s="133"/>
      <c r="IG612" s="133"/>
      <c r="IH612" s="133"/>
      <c r="II612" s="133"/>
      <c r="IJ612" s="133"/>
      <c r="IK612" s="133"/>
      <c r="IL612" s="133"/>
      <c r="IM612" s="133"/>
      <c r="IN612" s="133"/>
      <c r="IO612" s="133"/>
      <c r="IP612" s="133"/>
      <c r="IQ612" s="133"/>
      <c r="IR612" s="133"/>
      <c r="IS612" s="133"/>
      <c r="IT612" s="133"/>
      <c r="IU612" s="133"/>
      <c r="IV612" s="133"/>
    </row>
    <row r="613" spans="1:256" s="132" customFormat="1" ht="13.8">
      <c r="A613" s="133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GE613" s="133"/>
      <c r="GF613" s="133"/>
      <c r="GG613" s="133"/>
      <c r="GH613" s="133"/>
      <c r="GI613" s="133"/>
      <c r="GJ613" s="133"/>
      <c r="GK613" s="133"/>
      <c r="GL613" s="133"/>
      <c r="GM613" s="133"/>
      <c r="GN613" s="133"/>
      <c r="GO613" s="133"/>
      <c r="GP613" s="133"/>
      <c r="GQ613" s="133"/>
      <c r="GR613" s="133"/>
      <c r="GS613" s="133"/>
      <c r="GT613" s="133"/>
      <c r="GU613" s="133"/>
      <c r="GV613" s="133"/>
      <c r="GW613" s="133"/>
      <c r="GX613" s="133"/>
      <c r="GY613" s="133"/>
      <c r="GZ613" s="133"/>
      <c r="HA613" s="133"/>
      <c r="HB613" s="133"/>
      <c r="HC613" s="133"/>
      <c r="HD613" s="133"/>
      <c r="HE613" s="133"/>
      <c r="HF613" s="133"/>
      <c r="HG613" s="133"/>
      <c r="HH613" s="133"/>
      <c r="HI613" s="133"/>
      <c r="HJ613" s="133"/>
      <c r="HK613" s="133"/>
      <c r="HL613" s="133"/>
      <c r="HM613" s="133"/>
      <c r="HN613" s="133"/>
      <c r="HO613" s="133"/>
      <c r="HP613" s="133"/>
      <c r="HQ613" s="133"/>
      <c r="HR613" s="133"/>
      <c r="HS613" s="133"/>
      <c r="HT613" s="133"/>
      <c r="HU613" s="133"/>
      <c r="HV613" s="133"/>
      <c r="HW613" s="133"/>
      <c r="HX613" s="133"/>
      <c r="HY613" s="133"/>
      <c r="HZ613" s="133"/>
      <c r="IA613" s="133"/>
      <c r="IB613" s="133"/>
      <c r="IC613" s="133"/>
      <c r="ID613" s="133"/>
      <c r="IE613" s="133"/>
      <c r="IF613" s="133"/>
      <c r="IG613" s="133"/>
      <c r="IH613" s="133"/>
      <c r="II613" s="133"/>
      <c r="IJ613" s="133"/>
      <c r="IK613" s="133"/>
      <c r="IL613" s="133"/>
      <c r="IM613" s="133"/>
      <c r="IN613" s="133"/>
      <c r="IO613" s="133"/>
      <c r="IP613" s="133"/>
      <c r="IQ613" s="133"/>
      <c r="IR613" s="133"/>
      <c r="IS613" s="133"/>
      <c r="IT613" s="133"/>
      <c r="IU613" s="133"/>
      <c r="IV613" s="133"/>
    </row>
    <row r="614" spans="1:256" s="132" customFormat="1" ht="13.8">
      <c r="A614" s="133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GE614" s="133"/>
      <c r="GF614" s="133"/>
      <c r="GG614" s="133"/>
      <c r="GH614" s="133"/>
      <c r="GI614" s="133"/>
      <c r="GJ614" s="133"/>
      <c r="GK614" s="133"/>
      <c r="GL614" s="133"/>
      <c r="GM614" s="133"/>
      <c r="GN614" s="133"/>
      <c r="GO614" s="133"/>
      <c r="GP614" s="133"/>
      <c r="GQ614" s="133"/>
      <c r="GR614" s="133"/>
      <c r="GS614" s="133"/>
      <c r="GT614" s="133"/>
      <c r="GU614" s="133"/>
      <c r="GV614" s="133"/>
      <c r="GW614" s="133"/>
      <c r="GX614" s="133"/>
      <c r="GY614" s="133"/>
      <c r="GZ614" s="133"/>
      <c r="HA614" s="133"/>
      <c r="HB614" s="133"/>
      <c r="HC614" s="133"/>
      <c r="HD614" s="133"/>
      <c r="HE614" s="133"/>
      <c r="HF614" s="133"/>
      <c r="HG614" s="133"/>
      <c r="HH614" s="133"/>
      <c r="HI614" s="133"/>
      <c r="HJ614" s="133"/>
      <c r="HK614" s="133"/>
      <c r="HL614" s="133"/>
      <c r="HM614" s="133"/>
      <c r="HN614" s="133"/>
      <c r="HO614" s="133"/>
      <c r="HP614" s="133"/>
      <c r="HQ614" s="133"/>
      <c r="HR614" s="133"/>
      <c r="HS614" s="133"/>
      <c r="HT614" s="133"/>
      <c r="HU614" s="133"/>
      <c r="HV614" s="133"/>
      <c r="HW614" s="133"/>
      <c r="HX614" s="133"/>
      <c r="HY614" s="133"/>
      <c r="HZ614" s="133"/>
      <c r="IA614" s="133"/>
      <c r="IB614" s="133"/>
      <c r="IC614" s="133"/>
      <c r="ID614" s="133"/>
      <c r="IE614" s="133"/>
      <c r="IF614" s="133"/>
      <c r="IG614" s="133"/>
      <c r="IH614" s="133"/>
      <c r="II614" s="133"/>
      <c r="IJ614" s="133"/>
      <c r="IK614" s="133"/>
      <c r="IL614" s="133"/>
      <c r="IM614" s="133"/>
      <c r="IN614" s="133"/>
      <c r="IO614" s="133"/>
      <c r="IP614" s="133"/>
      <c r="IQ614" s="133"/>
      <c r="IR614" s="133"/>
      <c r="IS614" s="133"/>
      <c r="IT614" s="133"/>
      <c r="IU614" s="133"/>
      <c r="IV614" s="133"/>
    </row>
    <row r="615" spans="1:256" s="132" customFormat="1" ht="13.8">
      <c r="A615" s="133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GE615" s="133"/>
      <c r="GF615" s="133"/>
      <c r="GG615" s="133"/>
      <c r="GH615" s="133"/>
      <c r="GI615" s="133"/>
      <c r="GJ615" s="133"/>
      <c r="GK615" s="133"/>
      <c r="GL615" s="133"/>
      <c r="GM615" s="133"/>
      <c r="GN615" s="133"/>
      <c r="GO615" s="133"/>
      <c r="GP615" s="133"/>
      <c r="GQ615" s="133"/>
      <c r="GR615" s="133"/>
      <c r="GS615" s="133"/>
      <c r="GT615" s="133"/>
      <c r="GU615" s="133"/>
      <c r="GV615" s="133"/>
      <c r="GW615" s="133"/>
      <c r="GX615" s="133"/>
      <c r="GY615" s="133"/>
      <c r="GZ615" s="133"/>
      <c r="HA615" s="133"/>
      <c r="HB615" s="133"/>
      <c r="HC615" s="133"/>
      <c r="HD615" s="133"/>
      <c r="HE615" s="133"/>
      <c r="HF615" s="133"/>
      <c r="HG615" s="133"/>
      <c r="HH615" s="133"/>
      <c r="HI615" s="133"/>
      <c r="HJ615" s="133"/>
      <c r="HK615" s="133"/>
      <c r="HL615" s="133"/>
      <c r="HM615" s="133"/>
      <c r="HN615" s="133"/>
      <c r="HO615" s="133"/>
      <c r="HP615" s="133"/>
      <c r="HQ615" s="133"/>
      <c r="HR615" s="133"/>
      <c r="HS615" s="133"/>
      <c r="HT615" s="133"/>
      <c r="HU615" s="133"/>
      <c r="HV615" s="133"/>
      <c r="HW615" s="133"/>
      <c r="HX615" s="133"/>
      <c r="HY615" s="133"/>
      <c r="HZ615" s="133"/>
      <c r="IA615" s="133"/>
      <c r="IB615" s="133"/>
      <c r="IC615" s="133"/>
      <c r="ID615" s="133"/>
      <c r="IE615" s="133"/>
      <c r="IF615" s="133"/>
      <c r="IG615" s="133"/>
      <c r="IH615" s="133"/>
      <c r="II615" s="133"/>
      <c r="IJ615" s="133"/>
      <c r="IK615" s="133"/>
      <c r="IL615" s="133"/>
      <c r="IM615" s="133"/>
      <c r="IN615" s="133"/>
      <c r="IO615" s="133"/>
      <c r="IP615" s="133"/>
      <c r="IQ615" s="133"/>
      <c r="IR615" s="133"/>
      <c r="IS615" s="133"/>
      <c r="IT615" s="133"/>
      <c r="IU615" s="133"/>
      <c r="IV615" s="133"/>
    </row>
    <row r="616" spans="1:256" s="132" customFormat="1" ht="13.8">
      <c r="A616" s="133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GE616" s="133"/>
      <c r="GF616" s="133"/>
      <c r="GG616" s="133"/>
      <c r="GH616" s="133"/>
      <c r="GI616" s="133"/>
      <c r="GJ616" s="133"/>
      <c r="GK616" s="133"/>
      <c r="GL616" s="133"/>
      <c r="GM616" s="133"/>
      <c r="GN616" s="133"/>
      <c r="GO616" s="133"/>
      <c r="GP616" s="133"/>
      <c r="GQ616" s="133"/>
      <c r="GR616" s="133"/>
      <c r="GS616" s="133"/>
      <c r="GT616" s="133"/>
      <c r="GU616" s="133"/>
      <c r="GV616" s="133"/>
      <c r="GW616" s="133"/>
      <c r="GX616" s="133"/>
      <c r="GY616" s="133"/>
      <c r="GZ616" s="133"/>
      <c r="HA616" s="133"/>
      <c r="HB616" s="133"/>
      <c r="HC616" s="133"/>
      <c r="HD616" s="133"/>
      <c r="HE616" s="133"/>
      <c r="HF616" s="133"/>
      <c r="HG616" s="133"/>
      <c r="HH616" s="133"/>
      <c r="HI616" s="133"/>
      <c r="HJ616" s="133"/>
      <c r="HK616" s="133"/>
      <c r="HL616" s="133"/>
      <c r="HM616" s="133"/>
      <c r="HN616" s="133"/>
      <c r="HO616" s="133"/>
      <c r="HP616" s="133"/>
      <c r="HQ616" s="133"/>
      <c r="HR616" s="133"/>
      <c r="HS616" s="133"/>
      <c r="HT616" s="133"/>
      <c r="HU616" s="133"/>
      <c r="HV616" s="133"/>
      <c r="HW616" s="133"/>
      <c r="HX616" s="133"/>
      <c r="HY616" s="133"/>
      <c r="HZ616" s="133"/>
      <c r="IA616" s="133"/>
      <c r="IB616" s="133"/>
      <c r="IC616" s="133"/>
      <c r="ID616" s="133"/>
      <c r="IE616" s="133"/>
      <c r="IF616" s="133"/>
      <c r="IG616" s="133"/>
      <c r="IH616" s="133"/>
      <c r="II616" s="133"/>
      <c r="IJ616" s="133"/>
      <c r="IK616" s="133"/>
      <c r="IL616" s="133"/>
      <c r="IM616" s="133"/>
      <c r="IN616" s="133"/>
      <c r="IO616" s="133"/>
      <c r="IP616" s="133"/>
      <c r="IQ616" s="133"/>
      <c r="IR616" s="133"/>
      <c r="IS616" s="133"/>
      <c r="IT616" s="133"/>
      <c r="IU616" s="133"/>
      <c r="IV616" s="133"/>
    </row>
    <row r="617" spans="1:256" s="132" customFormat="1" ht="13.8">
      <c r="A617" s="133"/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GE617" s="133"/>
      <c r="GF617" s="133"/>
      <c r="GG617" s="133"/>
      <c r="GH617" s="133"/>
      <c r="GI617" s="133"/>
      <c r="GJ617" s="133"/>
      <c r="GK617" s="133"/>
      <c r="GL617" s="133"/>
      <c r="GM617" s="133"/>
      <c r="GN617" s="133"/>
      <c r="GO617" s="133"/>
      <c r="GP617" s="133"/>
      <c r="GQ617" s="133"/>
      <c r="GR617" s="133"/>
      <c r="GS617" s="133"/>
      <c r="GT617" s="133"/>
      <c r="GU617" s="133"/>
      <c r="GV617" s="133"/>
      <c r="GW617" s="133"/>
      <c r="GX617" s="133"/>
      <c r="GY617" s="133"/>
      <c r="GZ617" s="133"/>
      <c r="HA617" s="133"/>
      <c r="HB617" s="133"/>
      <c r="HC617" s="133"/>
      <c r="HD617" s="133"/>
      <c r="HE617" s="133"/>
      <c r="HF617" s="133"/>
      <c r="HG617" s="133"/>
      <c r="HH617" s="133"/>
      <c r="HI617" s="133"/>
      <c r="HJ617" s="133"/>
      <c r="HK617" s="133"/>
      <c r="HL617" s="133"/>
      <c r="HM617" s="133"/>
      <c r="HN617" s="133"/>
      <c r="HO617" s="133"/>
      <c r="HP617" s="133"/>
      <c r="HQ617" s="133"/>
      <c r="HR617" s="133"/>
      <c r="HS617" s="133"/>
      <c r="HT617" s="133"/>
      <c r="HU617" s="133"/>
      <c r="HV617" s="133"/>
      <c r="HW617" s="133"/>
      <c r="HX617" s="133"/>
      <c r="HY617" s="133"/>
      <c r="HZ617" s="133"/>
      <c r="IA617" s="133"/>
      <c r="IB617" s="133"/>
      <c r="IC617" s="133"/>
      <c r="ID617" s="133"/>
      <c r="IE617" s="133"/>
      <c r="IF617" s="133"/>
      <c r="IG617" s="133"/>
      <c r="IH617" s="133"/>
      <c r="II617" s="133"/>
      <c r="IJ617" s="133"/>
      <c r="IK617" s="133"/>
      <c r="IL617" s="133"/>
      <c r="IM617" s="133"/>
      <c r="IN617" s="133"/>
      <c r="IO617" s="133"/>
      <c r="IP617" s="133"/>
      <c r="IQ617" s="133"/>
      <c r="IR617" s="133"/>
      <c r="IS617" s="133"/>
      <c r="IT617" s="133"/>
      <c r="IU617" s="133"/>
      <c r="IV617" s="133"/>
    </row>
    <row r="618" spans="1:256" s="132" customFormat="1" ht="13.8">
      <c r="A618" s="133"/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GE618" s="133"/>
      <c r="GF618" s="133"/>
      <c r="GG618" s="133"/>
      <c r="GH618" s="133"/>
      <c r="GI618" s="133"/>
      <c r="GJ618" s="133"/>
      <c r="GK618" s="133"/>
      <c r="GL618" s="133"/>
      <c r="GM618" s="133"/>
      <c r="GN618" s="133"/>
      <c r="GO618" s="133"/>
      <c r="GP618" s="133"/>
      <c r="GQ618" s="133"/>
      <c r="GR618" s="133"/>
      <c r="GS618" s="133"/>
      <c r="GT618" s="133"/>
      <c r="GU618" s="133"/>
      <c r="GV618" s="133"/>
      <c r="GW618" s="133"/>
      <c r="GX618" s="133"/>
      <c r="GY618" s="133"/>
      <c r="GZ618" s="133"/>
      <c r="HA618" s="133"/>
      <c r="HB618" s="133"/>
      <c r="HC618" s="133"/>
      <c r="HD618" s="133"/>
      <c r="HE618" s="133"/>
      <c r="HF618" s="133"/>
      <c r="HG618" s="133"/>
      <c r="HH618" s="133"/>
      <c r="HI618" s="133"/>
      <c r="HJ618" s="133"/>
      <c r="HK618" s="133"/>
      <c r="HL618" s="133"/>
      <c r="HM618" s="133"/>
      <c r="HN618" s="133"/>
      <c r="HO618" s="133"/>
      <c r="HP618" s="133"/>
      <c r="HQ618" s="133"/>
      <c r="HR618" s="133"/>
      <c r="HS618" s="133"/>
      <c r="HT618" s="133"/>
      <c r="HU618" s="133"/>
      <c r="HV618" s="133"/>
      <c r="HW618" s="133"/>
      <c r="HX618" s="133"/>
      <c r="HY618" s="133"/>
      <c r="HZ618" s="133"/>
      <c r="IA618" s="133"/>
      <c r="IB618" s="133"/>
      <c r="IC618" s="133"/>
      <c r="ID618" s="133"/>
      <c r="IE618" s="133"/>
      <c r="IF618" s="133"/>
      <c r="IG618" s="133"/>
      <c r="IH618" s="133"/>
      <c r="II618" s="133"/>
      <c r="IJ618" s="133"/>
      <c r="IK618" s="133"/>
      <c r="IL618" s="133"/>
      <c r="IM618" s="133"/>
      <c r="IN618" s="133"/>
      <c r="IO618" s="133"/>
      <c r="IP618" s="133"/>
      <c r="IQ618" s="133"/>
      <c r="IR618" s="133"/>
      <c r="IS618" s="133"/>
      <c r="IT618" s="133"/>
      <c r="IU618" s="133"/>
      <c r="IV618" s="133"/>
    </row>
    <row r="619" spans="1:256" s="132" customFormat="1" ht="13.8">
      <c r="A619" s="133"/>
      <c r="B619" s="133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GE619" s="133"/>
      <c r="GF619" s="133"/>
      <c r="GG619" s="133"/>
      <c r="GH619" s="133"/>
      <c r="GI619" s="133"/>
      <c r="GJ619" s="133"/>
      <c r="GK619" s="133"/>
      <c r="GL619" s="133"/>
      <c r="GM619" s="133"/>
      <c r="GN619" s="133"/>
      <c r="GO619" s="133"/>
      <c r="GP619" s="133"/>
      <c r="GQ619" s="133"/>
      <c r="GR619" s="133"/>
      <c r="GS619" s="133"/>
      <c r="GT619" s="133"/>
      <c r="GU619" s="133"/>
      <c r="GV619" s="133"/>
      <c r="GW619" s="133"/>
      <c r="GX619" s="133"/>
      <c r="GY619" s="133"/>
      <c r="GZ619" s="133"/>
      <c r="HA619" s="133"/>
      <c r="HB619" s="133"/>
      <c r="HC619" s="133"/>
      <c r="HD619" s="133"/>
      <c r="HE619" s="133"/>
      <c r="HF619" s="133"/>
      <c r="HG619" s="133"/>
      <c r="HH619" s="133"/>
      <c r="HI619" s="133"/>
      <c r="HJ619" s="133"/>
      <c r="HK619" s="133"/>
      <c r="HL619" s="133"/>
      <c r="HM619" s="133"/>
      <c r="HN619" s="133"/>
      <c r="HO619" s="133"/>
      <c r="HP619" s="133"/>
      <c r="HQ619" s="133"/>
      <c r="HR619" s="133"/>
      <c r="HS619" s="133"/>
      <c r="HT619" s="133"/>
      <c r="HU619" s="133"/>
      <c r="HV619" s="133"/>
      <c r="HW619" s="133"/>
      <c r="HX619" s="133"/>
      <c r="HY619" s="133"/>
      <c r="HZ619" s="133"/>
      <c r="IA619" s="133"/>
      <c r="IB619" s="133"/>
      <c r="IC619" s="133"/>
      <c r="ID619" s="133"/>
      <c r="IE619" s="133"/>
      <c r="IF619" s="133"/>
      <c r="IG619" s="133"/>
      <c r="IH619" s="133"/>
      <c r="II619" s="133"/>
      <c r="IJ619" s="133"/>
      <c r="IK619" s="133"/>
      <c r="IL619" s="133"/>
      <c r="IM619" s="133"/>
      <c r="IN619" s="133"/>
      <c r="IO619" s="133"/>
      <c r="IP619" s="133"/>
      <c r="IQ619" s="133"/>
      <c r="IR619" s="133"/>
      <c r="IS619" s="133"/>
      <c r="IT619" s="133"/>
      <c r="IU619" s="133"/>
      <c r="IV619" s="133"/>
    </row>
    <row r="620" spans="1:256" s="132" customFormat="1" ht="13.8">
      <c r="A620" s="133"/>
      <c r="B620" s="133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GE620" s="133"/>
      <c r="GF620" s="133"/>
      <c r="GG620" s="133"/>
      <c r="GH620" s="133"/>
      <c r="GI620" s="133"/>
      <c r="GJ620" s="133"/>
      <c r="GK620" s="133"/>
      <c r="GL620" s="133"/>
      <c r="GM620" s="133"/>
      <c r="GN620" s="133"/>
      <c r="GO620" s="133"/>
      <c r="GP620" s="133"/>
      <c r="GQ620" s="133"/>
      <c r="GR620" s="133"/>
      <c r="GS620" s="133"/>
      <c r="GT620" s="133"/>
      <c r="GU620" s="133"/>
      <c r="GV620" s="133"/>
      <c r="GW620" s="133"/>
      <c r="GX620" s="133"/>
      <c r="GY620" s="133"/>
      <c r="GZ620" s="133"/>
      <c r="HA620" s="133"/>
      <c r="HB620" s="133"/>
      <c r="HC620" s="133"/>
      <c r="HD620" s="133"/>
      <c r="HE620" s="133"/>
      <c r="HF620" s="133"/>
      <c r="HG620" s="133"/>
      <c r="HH620" s="133"/>
      <c r="HI620" s="133"/>
      <c r="HJ620" s="133"/>
      <c r="HK620" s="133"/>
      <c r="HL620" s="133"/>
      <c r="HM620" s="133"/>
      <c r="HN620" s="133"/>
      <c r="HO620" s="133"/>
      <c r="HP620" s="133"/>
      <c r="HQ620" s="133"/>
      <c r="HR620" s="133"/>
      <c r="HS620" s="133"/>
      <c r="HT620" s="133"/>
      <c r="HU620" s="133"/>
      <c r="HV620" s="133"/>
      <c r="HW620" s="133"/>
      <c r="HX620" s="133"/>
      <c r="HY620" s="133"/>
      <c r="HZ620" s="133"/>
      <c r="IA620" s="133"/>
      <c r="IB620" s="133"/>
      <c r="IC620" s="133"/>
      <c r="ID620" s="133"/>
      <c r="IE620" s="133"/>
      <c r="IF620" s="133"/>
      <c r="IG620" s="133"/>
      <c r="IH620" s="133"/>
      <c r="II620" s="133"/>
      <c r="IJ620" s="133"/>
      <c r="IK620" s="133"/>
      <c r="IL620" s="133"/>
      <c r="IM620" s="133"/>
      <c r="IN620" s="133"/>
      <c r="IO620" s="133"/>
      <c r="IP620" s="133"/>
      <c r="IQ620" s="133"/>
      <c r="IR620" s="133"/>
      <c r="IS620" s="133"/>
      <c r="IT620" s="133"/>
      <c r="IU620" s="133"/>
      <c r="IV620" s="133"/>
    </row>
    <row r="621" spans="1:256" s="132" customFormat="1" ht="13.8">
      <c r="A621" s="133"/>
      <c r="B621" s="133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GE621" s="133"/>
      <c r="GF621" s="133"/>
      <c r="GG621" s="133"/>
      <c r="GH621" s="133"/>
      <c r="GI621" s="133"/>
      <c r="GJ621" s="133"/>
      <c r="GK621" s="133"/>
      <c r="GL621" s="133"/>
      <c r="GM621" s="133"/>
      <c r="GN621" s="133"/>
      <c r="GO621" s="133"/>
      <c r="GP621" s="133"/>
      <c r="GQ621" s="133"/>
      <c r="GR621" s="133"/>
      <c r="GS621" s="133"/>
      <c r="GT621" s="133"/>
      <c r="GU621" s="133"/>
      <c r="GV621" s="133"/>
      <c r="GW621" s="133"/>
      <c r="GX621" s="133"/>
      <c r="GY621" s="133"/>
      <c r="GZ621" s="133"/>
      <c r="HA621" s="133"/>
      <c r="HB621" s="133"/>
      <c r="HC621" s="133"/>
      <c r="HD621" s="133"/>
      <c r="HE621" s="133"/>
      <c r="HF621" s="133"/>
      <c r="HG621" s="133"/>
      <c r="HH621" s="133"/>
      <c r="HI621" s="133"/>
      <c r="HJ621" s="133"/>
      <c r="HK621" s="133"/>
      <c r="HL621" s="133"/>
      <c r="HM621" s="133"/>
      <c r="HN621" s="133"/>
      <c r="HO621" s="133"/>
      <c r="HP621" s="133"/>
      <c r="HQ621" s="133"/>
      <c r="HR621" s="133"/>
      <c r="HS621" s="133"/>
      <c r="HT621" s="133"/>
      <c r="HU621" s="133"/>
      <c r="HV621" s="133"/>
      <c r="HW621" s="133"/>
      <c r="HX621" s="133"/>
      <c r="HY621" s="133"/>
      <c r="HZ621" s="133"/>
      <c r="IA621" s="133"/>
      <c r="IB621" s="133"/>
      <c r="IC621" s="133"/>
      <c r="ID621" s="133"/>
      <c r="IE621" s="133"/>
      <c r="IF621" s="133"/>
      <c r="IG621" s="133"/>
      <c r="IH621" s="133"/>
      <c r="II621" s="133"/>
      <c r="IJ621" s="133"/>
      <c r="IK621" s="133"/>
      <c r="IL621" s="133"/>
      <c r="IM621" s="133"/>
      <c r="IN621" s="133"/>
      <c r="IO621" s="133"/>
      <c r="IP621" s="133"/>
      <c r="IQ621" s="133"/>
      <c r="IR621" s="133"/>
      <c r="IS621" s="133"/>
      <c r="IT621" s="133"/>
      <c r="IU621" s="133"/>
      <c r="IV621" s="133"/>
    </row>
    <row r="622" spans="1:256" s="132" customFormat="1" ht="13.8">
      <c r="A622" s="133"/>
      <c r="B622" s="133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GE622" s="133"/>
      <c r="GF622" s="133"/>
      <c r="GG622" s="133"/>
      <c r="GH622" s="133"/>
      <c r="GI622" s="133"/>
      <c r="GJ622" s="133"/>
      <c r="GK622" s="133"/>
      <c r="GL622" s="133"/>
      <c r="GM622" s="133"/>
      <c r="GN622" s="133"/>
      <c r="GO622" s="133"/>
      <c r="GP622" s="133"/>
      <c r="GQ622" s="133"/>
      <c r="GR622" s="133"/>
      <c r="GS622" s="133"/>
      <c r="GT622" s="133"/>
      <c r="GU622" s="133"/>
      <c r="GV622" s="133"/>
      <c r="GW622" s="133"/>
      <c r="GX622" s="133"/>
      <c r="GY622" s="133"/>
      <c r="GZ622" s="133"/>
      <c r="HA622" s="133"/>
      <c r="HB622" s="133"/>
      <c r="HC622" s="133"/>
      <c r="HD622" s="133"/>
      <c r="HE622" s="133"/>
      <c r="HF622" s="133"/>
      <c r="HG622" s="133"/>
      <c r="HH622" s="133"/>
      <c r="HI622" s="133"/>
      <c r="HJ622" s="133"/>
      <c r="HK622" s="133"/>
      <c r="HL622" s="133"/>
      <c r="HM622" s="133"/>
      <c r="HN622" s="133"/>
      <c r="HO622" s="133"/>
      <c r="HP622" s="133"/>
      <c r="HQ622" s="133"/>
      <c r="HR622" s="133"/>
      <c r="HS622" s="133"/>
      <c r="HT622" s="133"/>
      <c r="HU622" s="133"/>
      <c r="HV622" s="133"/>
      <c r="HW622" s="133"/>
      <c r="HX622" s="133"/>
      <c r="HY622" s="133"/>
      <c r="HZ622" s="133"/>
      <c r="IA622" s="133"/>
      <c r="IB622" s="133"/>
      <c r="IC622" s="133"/>
      <c r="ID622" s="133"/>
      <c r="IE622" s="133"/>
      <c r="IF622" s="133"/>
      <c r="IG622" s="133"/>
      <c r="IH622" s="133"/>
      <c r="II622" s="133"/>
      <c r="IJ622" s="133"/>
      <c r="IK622" s="133"/>
      <c r="IL622" s="133"/>
      <c r="IM622" s="133"/>
      <c r="IN622" s="133"/>
      <c r="IO622" s="133"/>
      <c r="IP622" s="133"/>
      <c r="IQ622" s="133"/>
      <c r="IR622" s="133"/>
      <c r="IS622" s="133"/>
      <c r="IT622" s="133"/>
      <c r="IU622" s="133"/>
      <c r="IV622" s="133"/>
    </row>
    <row r="623" spans="1:256" s="132" customFormat="1" ht="13.8">
      <c r="A623" s="133"/>
      <c r="B623" s="133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GE623" s="133"/>
      <c r="GF623" s="133"/>
      <c r="GG623" s="133"/>
      <c r="GH623" s="133"/>
      <c r="GI623" s="133"/>
      <c r="GJ623" s="133"/>
      <c r="GK623" s="133"/>
      <c r="GL623" s="133"/>
      <c r="GM623" s="133"/>
      <c r="GN623" s="133"/>
      <c r="GO623" s="133"/>
      <c r="GP623" s="133"/>
      <c r="GQ623" s="133"/>
      <c r="GR623" s="133"/>
      <c r="GS623" s="133"/>
      <c r="GT623" s="133"/>
      <c r="GU623" s="133"/>
      <c r="GV623" s="133"/>
      <c r="GW623" s="133"/>
      <c r="GX623" s="133"/>
      <c r="GY623" s="133"/>
      <c r="GZ623" s="133"/>
      <c r="HA623" s="133"/>
      <c r="HB623" s="133"/>
      <c r="HC623" s="133"/>
      <c r="HD623" s="133"/>
      <c r="HE623" s="133"/>
      <c r="HF623" s="133"/>
      <c r="HG623" s="133"/>
      <c r="HH623" s="133"/>
      <c r="HI623" s="133"/>
      <c r="HJ623" s="133"/>
      <c r="HK623" s="133"/>
      <c r="HL623" s="133"/>
      <c r="HM623" s="133"/>
      <c r="HN623" s="133"/>
      <c r="HO623" s="133"/>
      <c r="HP623" s="133"/>
      <c r="HQ623" s="133"/>
      <c r="HR623" s="133"/>
      <c r="HS623" s="133"/>
      <c r="HT623" s="133"/>
      <c r="HU623" s="133"/>
      <c r="HV623" s="133"/>
      <c r="HW623" s="133"/>
      <c r="HX623" s="133"/>
      <c r="HY623" s="133"/>
      <c r="HZ623" s="133"/>
      <c r="IA623" s="133"/>
      <c r="IB623" s="133"/>
      <c r="IC623" s="133"/>
      <c r="ID623" s="133"/>
      <c r="IE623" s="133"/>
      <c r="IF623" s="133"/>
      <c r="IG623" s="133"/>
      <c r="IH623" s="133"/>
      <c r="II623" s="133"/>
      <c r="IJ623" s="133"/>
      <c r="IK623" s="133"/>
      <c r="IL623" s="133"/>
      <c r="IM623" s="133"/>
      <c r="IN623" s="133"/>
      <c r="IO623" s="133"/>
      <c r="IP623" s="133"/>
      <c r="IQ623" s="133"/>
      <c r="IR623" s="133"/>
      <c r="IS623" s="133"/>
      <c r="IT623" s="133"/>
      <c r="IU623" s="133"/>
      <c r="IV623" s="133"/>
    </row>
    <row r="624" spans="1:256" s="132" customFormat="1" ht="13.8">
      <c r="A624" s="133"/>
      <c r="B624" s="133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GE624" s="133"/>
      <c r="GF624" s="133"/>
      <c r="GG624" s="133"/>
      <c r="GH624" s="133"/>
      <c r="GI624" s="133"/>
      <c r="GJ624" s="133"/>
      <c r="GK624" s="133"/>
      <c r="GL624" s="133"/>
      <c r="GM624" s="133"/>
      <c r="GN624" s="133"/>
      <c r="GO624" s="133"/>
      <c r="GP624" s="133"/>
      <c r="GQ624" s="133"/>
      <c r="GR624" s="133"/>
      <c r="GS624" s="133"/>
      <c r="GT624" s="133"/>
      <c r="GU624" s="133"/>
      <c r="GV624" s="133"/>
      <c r="GW624" s="133"/>
      <c r="GX624" s="133"/>
      <c r="GY624" s="133"/>
      <c r="GZ624" s="133"/>
      <c r="HA624" s="133"/>
      <c r="HB624" s="133"/>
      <c r="HC624" s="133"/>
      <c r="HD624" s="133"/>
      <c r="HE624" s="133"/>
      <c r="HF624" s="133"/>
      <c r="HG624" s="133"/>
      <c r="HH624" s="133"/>
      <c r="HI624" s="133"/>
      <c r="HJ624" s="133"/>
      <c r="HK624" s="133"/>
      <c r="HL624" s="133"/>
      <c r="HM624" s="133"/>
      <c r="HN624" s="133"/>
      <c r="HO624" s="133"/>
      <c r="HP624" s="133"/>
      <c r="HQ624" s="133"/>
      <c r="HR624" s="133"/>
      <c r="HS624" s="133"/>
      <c r="HT624" s="133"/>
      <c r="HU624" s="133"/>
      <c r="HV624" s="133"/>
      <c r="HW624" s="133"/>
      <c r="HX624" s="133"/>
      <c r="HY624" s="133"/>
      <c r="HZ624" s="133"/>
      <c r="IA624" s="133"/>
      <c r="IB624" s="133"/>
      <c r="IC624" s="133"/>
      <c r="ID624" s="133"/>
      <c r="IE624" s="133"/>
      <c r="IF624" s="133"/>
      <c r="IG624" s="133"/>
      <c r="IH624" s="133"/>
      <c r="II624" s="133"/>
      <c r="IJ624" s="133"/>
      <c r="IK624" s="133"/>
      <c r="IL624" s="133"/>
      <c r="IM624" s="133"/>
      <c r="IN624" s="133"/>
      <c r="IO624" s="133"/>
      <c r="IP624" s="133"/>
      <c r="IQ624" s="133"/>
      <c r="IR624" s="133"/>
      <c r="IS624" s="133"/>
      <c r="IT624" s="133"/>
      <c r="IU624" s="133"/>
      <c r="IV624" s="133"/>
    </row>
    <row r="625" spans="1:256" s="132" customFormat="1" ht="13.8">
      <c r="A625" s="133"/>
      <c r="B625" s="133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GE625" s="133"/>
      <c r="GF625" s="133"/>
      <c r="GG625" s="133"/>
      <c r="GH625" s="133"/>
      <c r="GI625" s="133"/>
      <c r="GJ625" s="133"/>
      <c r="GK625" s="133"/>
      <c r="GL625" s="133"/>
      <c r="GM625" s="133"/>
      <c r="GN625" s="133"/>
      <c r="GO625" s="133"/>
      <c r="GP625" s="133"/>
      <c r="GQ625" s="133"/>
      <c r="GR625" s="133"/>
      <c r="GS625" s="133"/>
      <c r="GT625" s="133"/>
      <c r="GU625" s="133"/>
      <c r="GV625" s="133"/>
      <c r="GW625" s="133"/>
      <c r="GX625" s="133"/>
      <c r="GY625" s="133"/>
      <c r="GZ625" s="133"/>
      <c r="HA625" s="133"/>
      <c r="HB625" s="133"/>
      <c r="HC625" s="133"/>
      <c r="HD625" s="133"/>
      <c r="HE625" s="133"/>
      <c r="HF625" s="133"/>
      <c r="HG625" s="133"/>
      <c r="HH625" s="133"/>
      <c r="HI625" s="133"/>
      <c r="HJ625" s="133"/>
      <c r="HK625" s="133"/>
      <c r="HL625" s="133"/>
      <c r="HM625" s="133"/>
      <c r="HN625" s="133"/>
      <c r="HO625" s="133"/>
      <c r="HP625" s="133"/>
      <c r="HQ625" s="133"/>
      <c r="HR625" s="133"/>
      <c r="HS625" s="133"/>
      <c r="HT625" s="133"/>
      <c r="HU625" s="133"/>
      <c r="HV625" s="133"/>
      <c r="HW625" s="133"/>
      <c r="HX625" s="133"/>
      <c r="HY625" s="133"/>
      <c r="HZ625" s="133"/>
      <c r="IA625" s="133"/>
      <c r="IB625" s="133"/>
      <c r="IC625" s="133"/>
      <c r="ID625" s="133"/>
      <c r="IE625" s="133"/>
      <c r="IF625" s="133"/>
      <c r="IG625" s="133"/>
      <c r="IH625" s="133"/>
      <c r="II625" s="133"/>
      <c r="IJ625" s="133"/>
      <c r="IK625" s="133"/>
      <c r="IL625" s="133"/>
      <c r="IM625" s="133"/>
      <c r="IN625" s="133"/>
      <c r="IO625" s="133"/>
      <c r="IP625" s="133"/>
      <c r="IQ625" s="133"/>
      <c r="IR625" s="133"/>
      <c r="IS625" s="133"/>
      <c r="IT625" s="133"/>
      <c r="IU625" s="133"/>
      <c r="IV625" s="133"/>
    </row>
    <row r="626" spans="1:256" s="132" customFormat="1" ht="13.8">
      <c r="A626" s="133"/>
      <c r="B626" s="133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GE626" s="133"/>
      <c r="GF626" s="133"/>
      <c r="GG626" s="133"/>
      <c r="GH626" s="133"/>
      <c r="GI626" s="133"/>
      <c r="GJ626" s="133"/>
      <c r="GK626" s="133"/>
      <c r="GL626" s="133"/>
      <c r="GM626" s="133"/>
      <c r="GN626" s="133"/>
      <c r="GO626" s="133"/>
      <c r="GP626" s="133"/>
      <c r="GQ626" s="133"/>
      <c r="GR626" s="133"/>
      <c r="GS626" s="133"/>
      <c r="GT626" s="133"/>
      <c r="GU626" s="133"/>
      <c r="GV626" s="133"/>
      <c r="GW626" s="133"/>
      <c r="GX626" s="133"/>
      <c r="GY626" s="133"/>
      <c r="GZ626" s="133"/>
      <c r="HA626" s="133"/>
      <c r="HB626" s="133"/>
      <c r="HC626" s="133"/>
      <c r="HD626" s="133"/>
      <c r="HE626" s="133"/>
      <c r="HF626" s="133"/>
      <c r="HG626" s="133"/>
      <c r="HH626" s="133"/>
      <c r="HI626" s="133"/>
      <c r="HJ626" s="133"/>
      <c r="HK626" s="133"/>
      <c r="HL626" s="133"/>
      <c r="HM626" s="133"/>
      <c r="HN626" s="133"/>
      <c r="HO626" s="133"/>
      <c r="HP626" s="133"/>
      <c r="HQ626" s="133"/>
      <c r="HR626" s="133"/>
      <c r="HS626" s="133"/>
      <c r="HT626" s="133"/>
      <c r="HU626" s="133"/>
      <c r="HV626" s="133"/>
      <c r="HW626" s="133"/>
      <c r="HX626" s="133"/>
      <c r="HY626" s="133"/>
      <c r="HZ626" s="133"/>
      <c r="IA626" s="133"/>
      <c r="IB626" s="133"/>
      <c r="IC626" s="133"/>
      <c r="ID626" s="133"/>
      <c r="IE626" s="133"/>
      <c r="IF626" s="133"/>
      <c r="IG626" s="133"/>
      <c r="IH626" s="133"/>
      <c r="II626" s="133"/>
      <c r="IJ626" s="133"/>
      <c r="IK626" s="133"/>
      <c r="IL626" s="133"/>
      <c r="IM626" s="133"/>
      <c r="IN626" s="133"/>
      <c r="IO626" s="133"/>
      <c r="IP626" s="133"/>
      <c r="IQ626" s="133"/>
      <c r="IR626" s="133"/>
      <c r="IS626" s="133"/>
      <c r="IT626" s="133"/>
      <c r="IU626" s="133"/>
      <c r="IV626" s="133"/>
    </row>
    <row r="627" spans="1:256" s="132" customFormat="1" ht="13.8">
      <c r="A627" s="133"/>
      <c r="B627" s="133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GE627" s="133"/>
      <c r="GF627" s="133"/>
      <c r="GG627" s="133"/>
      <c r="GH627" s="133"/>
      <c r="GI627" s="133"/>
      <c r="GJ627" s="133"/>
      <c r="GK627" s="133"/>
      <c r="GL627" s="133"/>
      <c r="GM627" s="133"/>
      <c r="GN627" s="133"/>
      <c r="GO627" s="133"/>
      <c r="GP627" s="133"/>
      <c r="GQ627" s="133"/>
      <c r="GR627" s="133"/>
      <c r="GS627" s="133"/>
      <c r="GT627" s="133"/>
      <c r="GU627" s="133"/>
      <c r="GV627" s="133"/>
      <c r="GW627" s="133"/>
      <c r="GX627" s="133"/>
      <c r="GY627" s="133"/>
      <c r="GZ627" s="133"/>
      <c r="HA627" s="133"/>
      <c r="HB627" s="133"/>
      <c r="HC627" s="133"/>
      <c r="HD627" s="133"/>
      <c r="HE627" s="133"/>
      <c r="HF627" s="133"/>
      <c r="HG627" s="133"/>
      <c r="HH627" s="133"/>
      <c r="HI627" s="133"/>
      <c r="HJ627" s="133"/>
      <c r="HK627" s="133"/>
      <c r="HL627" s="133"/>
      <c r="HM627" s="133"/>
      <c r="HN627" s="133"/>
      <c r="HO627" s="133"/>
      <c r="HP627" s="133"/>
      <c r="HQ627" s="133"/>
      <c r="HR627" s="133"/>
      <c r="HS627" s="133"/>
      <c r="HT627" s="133"/>
      <c r="HU627" s="133"/>
      <c r="HV627" s="133"/>
      <c r="HW627" s="133"/>
      <c r="HX627" s="133"/>
      <c r="HY627" s="133"/>
      <c r="HZ627" s="133"/>
      <c r="IA627" s="133"/>
      <c r="IB627" s="133"/>
      <c r="IC627" s="133"/>
      <c r="ID627" s="133"/>
      <c r="IE627" s="133"/>
      <c r="IF627" s="133"/>
      <c r="IG627" s="133"/>
      <c r="IH627" s="133"/>
      <c r="II627" s="133"/>
      <c r="IJ627" s="133"/>
      <c r="IK627" s="133"/>
      <c r="IL627" s="133"/>
      <c r="IM627" s="133"/>
      <c r="IN627" s="133"/>
      <c r="IO627" s="133"/>
      <c r="IP627" s="133"/>
      <c r="IQ627" s="133"/>
      <c r="IR627" s="133"/>
      <c r="IS627" s="133"/>
      <c r="IT627" s="133"/>
      <c r="IU627" s="133"/>
      <c r="IV627" s="133"/>
    </row>
    <row r="628" spans="1:256" s="132" customFormat="1" ht="13.8">
      <c r="A628" s="133"/>
      <c r="B628" s="133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GE628" s="133"/>
      <c r="GF628" s="133"/>
      <c r="GG628" s="133"/>
      <c r="GH628" s="133"/>
      <c r="GI628" s="133"/>
      <c r="GJ628" s="133"/>
      <c r="GK628" s="133"/>
      <c r="GL628" s="133"/>
      <c r="GM628" s="133"/>
      <c r="GN628" s="133"/>
      <c r="GO628" s="133"/>
      <c r="GP628" s="133"/>
      <c r="GQ628" s="133"/>
      <c r="GR628" s="133"/>
      <c r="GS628" s="133"/>
      <c r="GT628" s="133"/>
      <c r="GU628" s="133"/>
      <c r="GV628" s="133"/>
      <c r="GW628" s="133"/>
      <c r="GX628" s="133"/>
      <c r="GY628" s="133"/>
      <c r="GZ628" s="133"/>
      <c r="HA628" s="133"/>
      <c r="HB628" s="133"/>
      <c r="HC628" s="133"/>
      <c r="HD628" s="133"/>
      <c r="HE628" s="133"/>
      <c r="HF628" s="133"/>
      <c r="HG628" s="133"/>
      <c r="HH628" s="133"/>
      <c r="HI628" s="133"/>
      <c r="HJ628" s="133"/>
      <c r="HK628" s="133"/>
      <c r="HL628" s="133"/>
      <c r="HM628" s="133"/>
      <c r="HN628" s="133"/>
      <c r="HO628" s="133"/>
      <c r="HP628" s="133"/>
      <c r="HQ628" s="133"/>
      <c r="HR628" s="133"/>
      <c r="HS628" s="133"/>
      <c r="HT628" s="133"/>
      <c r="HU628" s="133"/>
      <c r="HV628" s="133"/>
      <c r="HW628" s="133"/>
      <c r="HX628" s="133"/>
      <c r="HY628" s="133"/>
      <c r="HZ628" s="133"/>
      <c r="IA628" s="133"/>
      <c r="IB628" s="133"/>
      <c r="IC628" s="133"/>
      <c r="ID628" s="133"/>
      <c r="IE628" s="133"/>
      <c r="IF628" s="133"/>
      <c r="IG628" s="133"/>
      <c r="IH628" s="133"/>
      <c r="II628" s="133"/>
      <c r="IJ628" s="133"/>
      <c r="IK628" s="133"/>
      <c r="IL628" s="133"/>
      <c r="IM628" s="133"/>
      <c r="IN628" s="133"/>
      <c r="IO628" s="133"/>
      <c r="IP628" s="133"/>
      <c r="IQ628" s="133"/>
      <c r="IR628" s="133"/>
      <c r="IS628" s="133"/>
      <c r="IT628" s="133"/>
      <c r="IU628" s="133"/>
      <c r="IV628" s="133"/>
    </row>
    <row r="629" spans="1:256" s="132" customFormat="1" ht="13.8">
      <c r="A629" s="133"/>
      <c r="B629" s="133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GE629" s="133"/>
      <c r="GF629" s="133"/>
      <c r="GG629" s="133"/>
      <c r="GH629" s="133"/>
      <c r="GI629" s="133"/>
      <c r="GJ629" s="133"/>
      <c r="GK629" s="133"/>
      <c r="GL629" s="133"/>
      <c r="GM629" s="133"/>
      <c r="GN629" s="133"/>
      <c r="GO629" s="133"/>
      <c r="GP629" s="133"/>
      <c r="GQ629" s="133"/>
      <c r="GR629" s="133"/>
      <c r="GS629" s="133"/>
      <c r="GT629" s="133"/>
      <c r="GU629" s="133"/>
      <c r="GV629" s="133"/>
      <c r="GW629" s="133"/>
      <c r="GX629" s="133"/>
      <c r="GY629" s="133"/>
      <c r="GZ629" s="133"/>
      <c r="HA629" s="133"/>
      <c r="HB629" s="133"/>
      <c r="HC629" s="133"/>
      <c r="HD629" s="133"/>
      <c r="HE629" s="133"/>
      <c r="HF629" s="133"/>
      <c r="HG629" s="133"/>
      <c r="HH629" s="133"/>
      <c r="HI629" s="133"/>
      <c r="HJ629" s="133"/>
      <c r="HK629" s="133"/>
      <c r="HL629" s="133"/>
      <c r="HM629" s="133"/>
      <c r="HN629" s="133"/>
      <c r="HO629" s="133"/>
      <c r="HP629" s="133"/>
      <c r="HQ629" s="133"/>
      <c r="HR629" s="133"/>
      <c r="HS629" s="133"/>
      <c r="HT629" s="133"/>
      <c r="HU629" s="133"/>
      <c r="HV629" s="133"/>
      <c r="HW629" s="133"/>
      <c r="HX629" s="133"/>
      <c r="HY629" s="133"/>
      <c r="HZ629" s="133"/>
      <c r="IA629" s="133"/>
      <c r="IB629" s="133"/>
      <c r="IC629" s="133"/>
      <c r="ID629" s="133"/>
      <c r="IE629" s="133"/>
      <c r="IF629" s="133"/>
      <c r="IG629" s="133"/>
      <c r="IH629" s="133"/>
      <c r="II629" s="133"/>
      <c r="IJ629" s="133"/>
      <c r="IK629" s="133"/>
      <c r="IL629" s="133"/>
      <c r="IM629" s="133"/>
      <c r="IN629" s="133"/>
      <c r="IO629" s="133"/>
      <c r="IP629" s="133"/>
      <c r="IQ629" s="133"/>
      <c r="IR629" s="133"/>
      <c r="IS629" s="133"/>
      <c r="IT629" s="133"/>
      <c r="IU629" s="133"/>
      <c r="IV629" s="133"/>
    </row>
    <row r="630" spans="1:256" s="132" customFormat="1" ht="13.8">
      <c r="A630" s="133"/>
      <c r="B630" s="133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GE630" s="133"/>
      <c r="GF630" s="133"/>
      <c r="GG630" s="133"/>
      <c r="GH630" s="133"/>
      <c r="GI630" s="133"/>
      <c r="GJ630" s="133"/>
      <c r="GK630" s="133"/>
      <c r="GL630" s="133"/>
      <c r="GM630" s="133"/>
      <c r="GN630" s="133"/>
      <c r="GO630" s="133"/>
      <c r="GP630" s="133"/>
      <c r="GQ630" s="133"/>
      <c r="GR630" s="133"/>
      <c r="GS630" s="133"/>
      <c r="GT630" s="133"/>
      <c r="GU630" s="133"/>
      <c r="GV630" s="133"/>
      <c r="GW630" s="133"/>
      <c r="GX630" s="133"/>
      <c r="GY630" s="133"/>
      <c r="GZ630" s="133"/>
      <c r="HA630" s="133"/>
      <c r="HB630" s="133"/>
      <c r="HC630" s="133"/>
      <c r="HD630" s="133"/>
      <c r="HE630" s="133"/>
      <c r="HF630" s="133"/>
      <c r="HG630" s="133"/>
      <c r="HH630" s="133"/>
      <c r="HI630" s="133"/>
      <c r="HJ630" s="133"/>
      <c r="HK630" s="133"/>
      <c r="HL630" s="133"/>
      <c r="HM630" s="133"/>
      <c r="HN630" s="133"/>
      <c r="HO630" s="133"/>
      <c r="HP630" s="133"/>
      <c r="HQ630" s="133"/>
      <c r="HR630" s="133"/>
      <c r="HS630" s="133"/>
      <c r="HT630" s="133"/>
      <c r="HU630" s="133"/>
      <c r="HV630" s="133"/>
      <c r="HW630" s="133"/>
      <c r="HX630" s="133"/>
      <c r="HY630" s="133"/>
      <c r="HZ630" s="133"/>
      <c r="IA630" s="133"/>
      <c r="IB630" s="133"/>
      <c r="IC630" s="133"/>
      <c r="ID630" s="133"/>
      <c r="IE630" s="133"/>
      <c r="IF630" s="133"/>
      <c r="IG630" s="133"/>
      <c r="IH630" s="133"/>
      <c r="II630" s="133"/>
      <c r="IJ630" s="133"/>
      <c r="IK630" s="133"/>
      <c r="IL630" s="133"/>
      <c r="IM630" s="133"/>
      <c r="IN630" s="133"/>
      <c r="IO630" s="133"/>
      <c r="IP630" s="133"/>
      <c r="IQ630" s="133"/>
      <c r="IR630" s="133"/>
      <c r="IS630" s="133"/>
      <c r="IT630" s="133"/>
      <c r="IU630" s="133"/>
      <c r="IV630" s="133"/>
    </row>
    <row r="631" spans="1:256" s="132" customFormat="1" ht="13.8">
      <c r="A631" s="133"/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GE631" s="133"/>
      <c r="GF631" s="133"/>
      <c r="GG631" s="133"/>
      <c r="GH631" s="133"/>
      <c r="GI631" s="133"/>
      <c r="GJ631" s="133"/>
      <c r="GK631" s="133"/>
      <c r="GL631" s="133"/>
      <c r="GM631" s="133"/>
      <c r="GN631" s="133"/>
      <c r="GO631" s="133"/>
      <c r="GP631" s="133"/>
      <c r="GQ631" s="133"/>
      <c r="GR631" s="133"/>
      <c r="GS631" s="133"/>
      <c r="GT631" s="133"/>
      <c r="GU631" s="133"/>
      <c r="GV631" s="133"/>
      <c r="GW631" s="133"/>
      <c r="GX631" s="133"/>
      <c r="GY631" s="133"/>
      <c r="GZ631" s="133"/>
      <c r="HA631" s="133"/>
      <c r="HB631" s="133"/>
      <c r="HC631" s="133"/>
      <c r="HD631" s="133"/>
      <c r="HE631" s="133"/>
      <c r="HF631" s="133"/>
      <c r="HG631" s="133"/>
      <c r="HH631" s="133"/>
      <c r="HI631" s="133"/>
      <c r="HJ631" s="133"/>
      <c r="HK631" s="133"/>
      <c r="HL631" s="133"/>
      <c r="HM631" s="133"/>
      <c r="HN631" s="133"/>
      <c r="HO631" s="133"/>
      <c r="HP631" s="133"/>
      <c r="HQ631" s="133"/>
      <c r="HR631" s="133"/>
      <c r="HS631" s="133"/>
      <c r="HT631" s="133"/>
      <c r="HU631" s="133"/>
      <c r="HV631" s="133"/>
      <c r="HW631" s="133"/>
      <c r="HX631" s="133"/>
      <c r="HY631" s="133"/>
      <c r="HZ631" s="133"/>
      <c r="IA631" s="133"/>
      <c r="IB631" s="133"/>
      <c r="IC631" s="133"/>
      <c r="ID631" s="133"/>
      <c r="IE631" s="133"/>
      <c r="IF631" s="133"/>
      <c r="IG631" s="133"/>
      <c r="IH631" s="133"/>
      <c r="II631" s="133"/>
      <c r="IJ631" s="133"/>
      <c r="IK631" s="133"/>
      <c r="IL631" s="133"/>
      <c r="IM631" s="133"/>
      <c r="IN631" s="133"/>
      <c r="IO631" s="133"/>
      <c r="IP631" s="133"/>
      <c r="IQ631" s="133"/>
      <c r="IR631" s="133"/>
      <c r="IS631" s="133"/>
      <c r="IT631" s="133"/>
      <c r="IU631" s="133"/>
      <c r="IV631" s="133"/>
    </row>
    <row r="632" spans="1:256" s="132" customFormat="1" ht="13.8">
      <c r="A632" s="133"/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GE632" s="133"/>
      <c r="GF632" s="133"/>
      <c r="GG632" s="133"/>
      <c r="GH632" s="133"/>
      <c r="GI632" s="133"/>
      <c r="GJ632" s="133"/>
      <c r="GK632" s="133"/>
      <c r="GL632" s="133"/>
      <c r="GM632" s="133"/>
      <c r="GN632" s="133"/>
      <c r="GO632" s="133"/>
      <c r="GP632" s="133"/>
      <c r="GQ632" s="133"/>
      <c r="GR632" s="133"/>
      <c r="GS632" s="133"/>
      <c r="GT632" s="133"/>
      <c r="GU632" s="133"/>
      <c r="GV632" s="133"/>
      <c r="GW632" s="133"/>
      <c r="GX632" s="133"/>
      <c r="GY632" s="133"/>
      <c r="GZ632" s="133"/>
      <c r="HA632" s="133"/>
      <c r="HB632" s="133"/>
      <c r="HC632" s="133"/>
      <c r="HD632" s="133"/>
      <c r="HE632" s="133"/>
      <c r="HF632" s="133"/>
      <c r="HG632" s="133"/>
      <c r="HH632" s="133"/>
      <c r="HI632" s="133"/>
      <c r="HJ632" s="133"/>
      <c r="HK632" s="133"/>
      <c r="HL632" s="133"/>
      <c r="HM632" s="133"/>
      <c r="HN632" s="133"/>
      <c r="HO632" s="133"/>
      <c r="HP632" s="133"/>
      <c r="HQ632" s="133"/>
      <c r="HR632" s="133"/>
      <c r="HS632" s="133"/>
      <c r="HT632" s="133"/>
      <c r="HU632" s="133"/>
      <c r="HV632" s="133"/>
      <c r="HW632" s="133"/>
      <c r="HX632" s="133"/>
      <c r="HY632" s="133"/>
      <c r="HZ632" s="133"/>
      <c r="IA632" s="133"/>
      <c r="IB632" s="133"/>
      <c r="IC632" s="133"/>
      <c r="ID632" s="133"/>
      <c r="IE632" s="133"/>
      <c r="IF632" s="133"/>
      <c r="IG632" s="133"/>
      <c r="IH632" s="133"/>
      <c r="II632" s="133"/>
      <c r="IJ632" s="133"/>
      <c r="IK632" s="133"/>
      <c r="IL632" s="133"/>
      <c r="IM632" s="133"/>
      <c r="IN632" s="133"/>
      <c r="IO632" s="133"/>
      <c r="IP632" s="133"/>
      <c r="IQ632" s="133"/>
      <c r="IR632" s="133"/>
      <c r="IS632" s="133"/>
      <c r="IT632" s="133"/>
      <c r="IU632" s="133"/>
      <c r="IV632" s="133"/>
    </row>
    <row r="633" spans="1:256" s="132" customFormat="1" ht="13.8">
      <c r="A633" s="133"/>
      <c r="B633" s="133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GE633" s="133"/>
      <c r="GF633" s="133"/>
      <c r="GG633" s="133"/>
      <c r="GH633" s="133"/>
      <c r="GI633" s="133"/>
      <c r="GJ633" s="133"/>
      <c r="GK633" s="133"/>
      <c r="GL633" s="133"/>
      <c r="GM633" s="133"/>
      <c r="GN633" s="133"/>
      <c r="GO633" s="133"/>
      <c r="GP633" s="133"/>
      <c r="GQ633" s="133"/>
      <c r="GR633" s="133"/>
      <c r="GS633" s="133"/>
      <c r="GT633" s="133"/>
      <c r="GU633" s="133"/>
      <c r="GV633" s="133"/>
      <c r="GW633" s="133"/>
      <c r="GX633" s="133"/>
      <c r="GY633" s="133"/>
      <c r="GZ633" s="133"/>
      <c r="HA633" s="133"/>
      <c r="HB633" s="133"/>
      <c r="HC633" s="133"/>
      <c r="HD633" s="133"/>
      <c r="HE633" s="133"/>
      <c r="HF633" s="133"/>
      <c r="HG633" s="133"/>
      <c r="HH633" s="133"/>
      <c r="HI633" s="133"/>
      <c r="HJ633" s="133"/>
      <c r="HK633" s="133"/>
      <c r="HL633" s="133"/>
      <c r="HM633" s="133"/>
      <c r="HN633" s="133"/>
      <c r="HO633" s="133"/>
      <c r="HP633" s="133"/>
      <c r="HQ633" s="133"/>
      <c r="HR633" s="133"/>
      <c r="HS633" s="133"/>
      <c r="HT633" s="133"/>
      <c r="HU633" s="133"/>
      <c r="HV633" s="133"/>
      <c r="HW633" s="133"/>
      <c r="HX633" s="133"/>
      <c r="HY633" s="133"/>
      <c r="HZ633" s="133"/>
      <c r="IA633" s="133"/>
      <c r="IB633" s="133"/>
      <c r="IC633" s="133"/>
      <c r="ID633" s="133"/>
      <c r="IE633" s="133"/>
      <c r="IF633" s="133"/>
      <c r="IG633" s="133"/>
      <c r="IH633" s="133"/>
      <c r="II633" s="133"/>
      <c r="IJ633" s="133"/>
      <c r="IK633" s="133"/>
      <c r="IL633" s="133"/>
      <c r="IM633" s="133"/>
      <c r="IN633" s="133"/>
      <c r="IO633" s="133"/>
      <c r="IP633" s="133"/>
      <c r="IQ633" s="133"/>
      <c r="IR633" s="133"/>
      <c r="IS633" s="133"/>
      <c r="IT633" s="133"/>
      <c r="IU633" s="133"/>
      <c r="IV633" s="133"/>
    </row>
    <row r="634" spans="1:256" s="132" customFormat="1" ht="13.8">
      <c r="A634" s="133"/>
      <c r="B634" s="133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GE634" s="133"/>
      <c r="GF634" s="133"/>
      <c r="GG634" s="133"/>
      <c r="GH634" s="133"/>
      <c r="GI634" s="133"/>
      <c r="GJ634" s="133"/>
      <c r="GK634" s="133"/>
      <c r="GL634" s="133"/>
      <c r="GM634" s="133"/>
      <c r="GN634" s="133"/>
      <c r="GO634" s="133"/>
      <c r="GP634" s="133"/>
      <c r="GQ634" s="133"/>
      <c r="GR634" s="133"/>
      <c r="GS634" s="133"/>
      <c r="GT634" s="133"/>
      <c r="GU634" s="133"/>
      <c r="GV634" s="133"/>
      <c r="GW634" s="133"/>
      <c r="GX634" s="133"/>
      <c r="GY634" s="133"/>
      <c r="GZ634" s="133"/>
      <c r="HA634" s="133"/>
      <c r="HB634" s="133"/>
      <c r="HC634" s="133"/>
      <c r="HD634" s="133"/>
      <c r="HE634" s="133"/>
      <c r="HF634" s="133"/>
      <c r="HG634" s="133"/>
      <c r="HH634" s="133"/>
      <c r="HI634" s="133"/>
      <c r="HJ634" s="133"/>
      <c r="HK634" s="133"/>
      <c r="HL634" s="133"/>
      <c r="HM634" s="133"/>
      <c r="HN634" s="133"/>
      <c r="HO634" s="133"/>
      <c r="HP634" s="133"/>
      <c r="HQ634" s="133"/>
      <c r="HR634" s="133"/>
      <c r="HS634" s="133"/>
      <c r="HT634" s="133"/>
      <c r="HU634" s="133"/>
      <c r="HV634" s="133"/>
      <c r="HW634" s="133"/>
      <c r="HX634" s="133"/>
      <c r="HY634" s="133"/>
      <c r="HZ634" s="133"/>
      <c r="IA634" s="133"/>
      <c r="IB634" s="133"/>
      <c r="IC634" s="133"/>
      <c r="ID634" s="133"/>
      <c r="IE634" s="133"/>
      <c r="IF634" s="133"/>
      <c r="IG634" s="133"/>
      <c r="IH634" s="133"/>
      <c r="II634" s="133"/>
      <c r="IJ634" s="133"/>
      <c r="IK634" s="133"/>
      <c r="IL634" s="133"/>
      <c r="IM634" s="133"/>
      <c r="IN634" s="133"/>
      <c r="IO634" s="133"/>
      <c r="IP634" s="133"/>
      <c r="IQ634" s="133"/>
      <c r="IR634" s="133"/>
      <c r="IS634" s="133"/>
      <c r="IT634" s="133"/>
      <c r="IU634" s="133"/>
      <c r="IV634" s="133"/>
    </row>
    <row r="635" spans="1:256" s="132" customFormat="1" ht="13.8">
      <c r="A635" s="133"/>
      <c r="B635" s="133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GE635" s="133"/>
      <c r="GF635" s="133"/>
      <c r="GG635" s="133"/>
      <c r="GH635" s="133"/>
      <c r="GI635" s="133"/>
      <c r="GJ635" s="133"/>
      <c r="GK635" s="133"/>
      <c r="GL635" s="133"/>
      <c r="GM635" s="133"/>
      <c r="GN635" s="133"/>
      <c r="GO635" s="133"/>
      <c r="GP635" s="133"/>
      <c r="GQ635" s="133"/>
      <c r="GR635" s="133"/>
      <c r="GS635" s="133"/>
      <c r="GT635" s="133"/>
      <c r="GU635" s="133"/>
      <c r="GV635" s="133"/>
      <c r="GW635" s="133"/>
      <c r="GX635" s="133"/>
      <c r="GY635" s="133"/>
      <c r="GZ635" s="133"/>
      <c r="HA635" s="133"/>
      <c r="HB635" s="133"/>
      <c r="HC635" s="133"/>
      <c r="HD635" s="133"/>
      <c r="HE635" s="133"/>
      <c r="HF635" s="133"/>
      <c r="HG635" s="133"/>
      <c r="HH635" s="133"/>
      <c r="HI635" s="133"/>
      <c r="HJ635" s="133"/>
      <c r="HK635" s="133"/>
      <c r="HL635" s="133"/>
      <c r="HM635" s="133"/>
      <c r="HN635" s="133"/>
      <c r="HO635" s="133"/>
      <c r="HP635" s="133"/>
      <c r="HQ635" s="133"/>
      <c r="HR635" s="133"/>
      <c r="HS635" s="133"/>
      <c r="HT635" s="133"/>
      <c r="HU635" s="133"/>
      <c r="HV635" s="133"/>
      <c r="HW635" s="133"/>
      <c r="HX635" s="133"/>
      <c r="HY635" s="133"/>
      <c r="HZ635" s="133"/>
      <c r="IA635" s="133"/>
      <c r="IB635" s="133"/>
      <c r="IC635" s="133"/>
      <c r="ID635" s="133"/>
      <c r="IE635" s="133"/>
      <c r="IF635" s="133"/>
      <c r="IG635" s="133"/>
      <c r="IH635" s="133"/>
      <c r="II635" s="133"/>
      <c r="IJ635" s="133"/>
      <c r="IK635" s="133"/>
      <c r="IL635" s="133"/>
      <c r="IM635" s="133"/>
      <c r="IN635" s="133"/>
      <c r="IO635" s="133"/>
      <c r="IP635" s="133"/>
      <c r="IQ635" s="133"/>
      <c r="IR635" s="133"/>
      <c r="IS635" s="133"/>
      <c r="IT635" s="133"/>
      <c r="IU635" s="133"/>
      <c r="IV635" s="133"/>
    </row>
    <row r="636" spans="1:256" s="132" customFormat="1" ht="13.8">
      <c r="A636" s="133"/>
      <c r="B636" s="133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GE636" s="133"/>
      <c r="GF636" s="133"/>
      <c r="GG636" s="133"/>
      <c r="GH636" s="133"/>
      <c r="GI636" s="133"/>
      <c r="GJ636" s="133"/>
      <c r="GK636" s="133"/>
      <c r="GL636" s="133"/>
      <c r="GM636" s="133"/>
      <c r="GN636" s="133"/>
      <c r="GO636" s="133"/>
      <c r="GP636" s="133"/>
      <c r="GQ636" s="133"/>
      <c r="GR636" s="133"/>
      <c r="GS636" s="133"/>
      <c r="GT636" s="133"/>
      <c r="GU636" s="133"/>
      <c r="GV636" s="133"/>
      <c r="GW636" s="133"/>
      <c r="GX636" s="133"/>
      <c r="GY636" s="133"/>
      <c r="GZ636" s="133"/>
      <c r="HA636" s="133"/>
      <c r="HB636" s="133"/>
      <c r="HC636" s="133"/>
      <c r="HD636" s="133"/>
      <c r="HE636" s="133"/>
      <c r="HF636" s="133"/>
      <c r="HG636" s="133"/>
      <c r="HH636" s="133"/>
      <c r="HI636" s="133"/>
      <c r="HJ636" s="133"/>
      <c r="HK636" s="133"/>
      <c r="HL636" s="133"/>
      <c r="HM636" s="133"/>
      <c r="HN636" s="133"/>
      <c r="HO636" s="133"/>
      <c r="HP636" s="133"/>
      <c r="HQ636" s="133"/>
      <c r="HR636" s="133"/>
      <c r="HS636" s="133"/>
      <c r="HT636" s="133"/>
      <c r="HU636" s="133"/>
      <c r="HV636" s="133"/>
      <c r="HW636" s="133"/>
      <c r="HX636" s="133"/>
      <c r="HY636" s="133"/>
      <c r="HZ636" s="133"/>
      <c r="IA636" s="133"/>
      <c r="IB636" s="133"/>
      <c r="IC636" s="133"/>
      <c r="ID636" s="133"/>
      <c r="IE636" s="133"/>
      <c r="IF636" s="133"/>
      <c r="IG636" s="133"/>
      <c r="IH636" s="133"/>
      <c r="II636" s="133"/>
      <c r="IJ636" s="133"/>
      <c r="IK636" s="133"/>
      <c r="IL636" s="133"/>
      <c r="IM636" s="133"/>
      <c r="IN636" s="133"/>
      <c r="IO636" s="133"/>
      <c r="IP636" s="133"/>
      <c r="IQ636" s="133"/>
      <c r="IR636" s="133"/>
      <c r="IS636" s="133"/>
      <c r="IT636" s="133"/>
      <c r="IU636" s="133"/>
      <c r="IV636" s="133"/>
    </row>
    <row r="637" spans="1:256" s="132" customFormat="1" ht="13.8">
      <c r="A637" s="133"/>
      <c r="B637" s="133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GE637" s="133"/>
      <c r="GF637" s="133"/>
      <c r="GG637" s="133"/>
      <c r="GH637" s="133"/>
      <c r="GI637" s="133"/>
      <c r="GJ637" s="133"/>
      <c r="GK637" s="133"/>
      <c r="GL637" s="133"/>
      <c r="GM637" s="133"/>
      <c r="GN637" s="133"/>
      <c r="GO637" s="133"/>
      <c r="GP637" s="133"/>
      <c r="GQ637" s="133"/>
      <c r="GR637" s="133"/>
      <c r="GS637" s="133"/>
      <c r="GT637" s="133"/>
      <c r="GU637" s="133"/>
      <c r="GV637" s="133"/>
      <c r="GW637" s="133"/>
      <c r="GX637" s="133"/>
      <c r="GY637" s="133"/>
      <c r="GZ637" s="133"/>
      <c r="HA637" s="133"/>
      <c r="HB637" s="133"/>
      <c r="HC637" s="133"/>
      <c r="HD637" s="133"/>
      <c r="HE637" s="133"/>
      <c r="HF637" s="133"/>
      <c r="HG637" s="133"/>
      <c r="HH637" s="133"/>
      <c r="HI637" s="133"/>
      <c r="HJ637" s="133"/>
      <c r="HK637" s="133"/>
      <c r="HL637" s="133"/>
      <c r="HM637" s="133"/>
      <c r="HN637" s="133"/>
      <c r="HO637" s="133"/>
      <c r="HP637" s="133"/>
      <c r="HQ637" s="133"/>
      <c r="HR637" s="133"/>
      <c r="HS637" s="133"/>
      <c r="HT637" s="133"/>
      <c r="HU637" s="133"/>
      <c r="HV637" s="133"/>
      <c r="HW637" s="133"/>
      <c r="HX637" s="133"/>
      <c r="HY637" s="133"/>
      <c r="HZ637" s="133"/>
      <c r="IA637" s="133"/>
      <c r="IB637" s="133"/>
      <c r="IC637" s="133"/>
      <c r="ID637" s="133"/>
      <c r="IE637" s="133"/>
      <c r="IF637" s="133"/>
      <c r="IG637" s="133"/>
      <c r="IH637" s="133"/>
      <c r="II637" s="133"/>
      <c r="IJ637" s="133"/>
      <c r="IK637" s="133"/>
      <c r="IL637" s="133"/>
      <c r="IM637" s="133"/>
      <c r="IN637" s="133"/>
      <c r="IO637" s="133"/>
      <c r="IP637" s="133"/>
      <c r="IQ637" s="133"/>
      <c r="IR637" s="133"/>
      <c r="IS637" s="133"/>
      <c r="IT637" s="133"/>
      <c r="IU637" s="133"/>
      <c r="IV637" s="133"/>
    </row>
    <row r="638" spans="1:256" s="132" customFormat="1" ht="13.8">
      <c r="A638" s="133"/>
      <c r="B638" s="133"/>
      <c r="C638" s="133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GE638" s="133"/>
      <c r="GF638" s="133"/>
      <c r="GG638" s="133"/>
      <c r="GH638" s="133"/>
      <c r="GI638" s="133"/>
      <c r="GJ638" s="133"/>
      <c r="GK638" s="133"/>
      <c r="GL638" s="133"/>
      <c r="GM638" s="133"/>
      <c r="GN638" s="133"/>
      <c r="GO638" s="133"/>
      <c r="GP638" s="133"/>
      <c r="GQ638" s="133"/>
      <c r="GR638" s="133"/>
      <c r="GS638" s="133"/>
      <c r="GT638" s="133"/>
      <c r="GU638" s="133"/>
      <c r="GV638" s="133"/>
      <c r="GW638" s="133"/>
      <c r="GX638" s="133"/>
      <c r="GY638" s="133"/>
      <c r="GZ638" s="133"/>
      <c r="HA638" s="133"/>
      <c r="HB638" s="133"/>
      <c r="HC638" s="133"/>
      <c r="HD638" s="133"/>
      <c r="HE638" s="133"/>
      <c r="HF638" s="133"/>
      <c r="HG638" s="133"/>
      <c r="HH638" s="133"/>
      <c r="HI638" s="133"/>
      <c r="HJ638" s="133"/>
      <c r="HK638" s="133"/>
      <c r="HL638" s="133"/>
      <c r="HM638" s="133"/>
      <c r="HN638" s="133"/>
      <c r="HO638" s="133"/>
      <c r="HP638" s="133"/>
      <c r="HQ638" s="133"/>
      <c r="HR638" s="133"/>
      <c r="HS638" s="133"/>
      <c r="HT638" s="133"/>
      <c r="HU638" s="133"/>
      <c r="HV638" s="133"/>
      <c r="HW638" s="133"/>
      <c r="HX638" s="133"/>
      <c r="HY638" s="133"/>
      <c r="HZ638" s="133"/>
      <c r="IA638" s="133"/>
      <c r="IB638" s="133"/>
      <c r="IC638" s="133"/>
      <c r="ID638" s="133"/>
      <c r="IE638" s="133"/>
      <c r="IF638" s="133"/>
      <c r="IG638" s="133"/>
      <c r="IH638" s="133"/>
      <c r="II638" s="133"/>
      <c r="IJ638" s="133"/>
      <c r="IK638" s="133"/>
      <c r="IL638" s="133"/>
      <c r="IM638" s="133"/>
      <c r="IN638" s="133"/>
      <c r="IO638" s="133"/>
      <c r="IP638" s="133"/>
      <c r="IQ638" s="133"/>
      <c r="IR638" s="133"/>
      <c r="IS638" s="133"/>
      <c r="IT638" s="133"/>
      <c r="IU638" s="133"/>
      <c r="IV638" s="133"/>
    </row>
    <row r="639" spans="1:256" s="132" customFormat="1" ht="13.8">
      <c r="A639" s="133"/>
      <c r="B639" s="133"/>
      <c r="C639" s="133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GE639" s="133"/>
      <c r="GF639" s="133"/>
      <c r="GG639" s="133"/>
      <c r="GH639" s="133"/>
      <c r="GI639" s="133"/>
      <c r="GJ639" s="133"/>
      <c r="GK639" s="133"/>
      <c r="GL639" s="133"/>
      <c r="GM639" s="133"/>
      <c r="GN639" s="133"/>
      <c r="GO639" s="133"/>
      <c r="GP639" s="133"/>
      <c r="GQ639" s="133"/>
      <c r="GR639" s="133"/>
      <c r="GS639" s="133"/>
      <c r="GT639" s="133"/>
      <c r="GU639" s="133"/>
      <c r="GV639" s="133"/>
      <c r="GW639" s="133"/>
      <c r="GX639" s="133"/>
      <c r="GY639" s="133"/>
      <c r="GZ639" s="133"/>
      <c r="HA639" s="133"/>
      <c r="HB639" s="133"/>
      <c r="HC639" s="133"/>
      <c r="HD639" s="133"/>
      <c r="HE639" s="133"/>
      <c r="HF639" s="133"/>
      <c r="HG639" s="133"/>
      <c r="HH639" s="133"/>
      <c r="HI639" s="133"/>
      <c r="HJ639" s="133"/>
      <c r="HK639" s="133"/>
      <c r="HL639" s="133"/>
      <c r="HM639" s="133"/>
      <c r="HN639" s="133"/>
      <c r="HO639" s="133"/>
      <c r="HP639" s="133"/>
      <c r="HQ639" s="133"/>
      <c r="HR639" s="133"/>
      <c r="HS639" s="133"/>
      <c r="HT639" s="133"/>
      <c r="HU639" s="133"/>
      <c r="HV639" s="133"/>
      <c r="HW639" s="133"/>
      <c r="HX639" s="133"/>
      <c r="HY639" s="133"/>
      <c r="HZ639" s="133"/>
      <c r="IA639" s="133"/>
      <c r="IB639" s="133"/>
      <c r="IC639" s="133"/>
      <c r="ID639" s="133"/>
      <c r="IE639" s="133"/>
      <c r="IF639" s="133"/>
      <c r="IG639" s="133"/>
      <c r="IH639" s="133"/>
      <c r="II639" s="133"/>
      <c r="IJ639" s="133"/>
      <c r="IK639" s="133"/>
      <c r="IL639" s="133"/>
      <c r="IM639" s="133"/>
      <c r="IN639" s="133"/>
      <c r="IO639" s="133"/>
      <c r="IP639" s="133"/>
      <c r="IQ639" s="133"/>
      <c r="IR639" s="133"/>
      <c r="IS639" s="133"/>
      <c r="IT639" s="133"/>
      <c r="IU639" s="133"/>
      <c r="IV639" s="133"/>
    </row>
    <row r="640" spans="1:256" s="132" customFormat="1" ht="13.8">
      <c r="A640" s="133"/>
      <c r="B640" s="133"/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GE640" s="133"/>
      <c r="GF640" s="133"/>
      <c r="GG640" s="133"/>
      <c r="GH640" s="133"/>
      <c r="GI640" s="133"/>
      <c r="GJ640" s="133"/>
      <c r="GK640" s="133"/>
      <c r="GL640" s="133"/>
      <c r="GM640" s="133"/>
      <c r="GN640" s="133"/>
      <c r="GO640" s="133"/>
      <c r="GP640" s="133"/>
      <c r="GQ640" s="133"/>
      <c r="GR640" s="133"/>
      <c r="GS640" s="133"/>
      <c r="GT640" s="133"/>
      <c r="GU640" s="133"/>
      <c r="GV640" s="133"/>
      <c r="GW640" s="133"/>
      <c r="GX640" s="133"/>
      <c r="GY640" s="133"/>
      <c r="GZ640" s="133"/>
      <c r="HA640" s="133"/>
      <c r="HB640" s="133"/>
      <c r="HC640" s="133"/>
      <c r="HD640" s="133"/>
      <c r="HE640" s="133"/>
      <c r="HF640" s="133"/>
      <c r="HG640" s="133"/>
      <c r="HH640" s="133"/>
      <c r="HI640" s="133"/>
      <c r="HJ640" s="133"/>
      <c r="HK640" s="133"/>
      <c r="HL640" s="133"/>
      <c r="HM640" s="133"/>
      <c r="HN640" s="133"/>
      <c r="HO640" s="133"/>
      <c r="HP640" s="133"/>
      <c r="HQ640" s="133"/>
      <c r="HR640" s="133"/>
      <c r="HS640" s="133"/>
      <c r="HT640" s="133"/>
      <c r="HU640" s="133"/>
      <c r="HV640" s="133"/>
      <c r="HW640" s="133"/>
      <c r="HX640" s="133"/>
      <c r="HY640" s="133"/>
      <c r="HZ640" s="133"/>
      <c r="IA640" s="133"/>
      <c r="IB640" s="133"/>
      <c r="IC640" s="133"/>
      <c r="ID640" s="133"/>
      <c r="IE640" s="133"/>
      <c r="IF640" s="133"/>
      <c r="IG640" s="133"/>
      <c r="IH640" s="133"/>
      <c r="II640" s="133"/>
      <c r="IJ640" s="133"/>
      <c r="IK640" s="133"/>
      <c r="IL640" s="133"/>
      <c r="IM640" s="133"/>
      <c r="IN640" s="133"/>
      <c r="IO640" s="133"/>
      <c r="IP640" s="133"/>
      <c r="IQ640" s="133"/>
      <c r="IR640" s="133"/>
      <c r="IS640" s="133"/>
      <c r="IT640" s="133"/>
      <c r="IU640" s="133"/>
      <c r="IV640" s="133"/>
    </row>
    <row r="641" spans="1:256" s="132" customFormat="1" ht="13.8">
      <c r="A641" s="133"/>
      <c r="B641" s="133"/>
      <c r="C641" s="133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GE641" s="133"/>
      <c r="GF641" s="133"/>
      <c r="GG641" s="133"/>
      <c r="GH641" s="133"/>
      <c r="GI641" s="133"/>
      <c r="GJ641" s="133"/>
      <c r="GK641" s="133"/>
      <c r="GL641" s="133"/>
      <c r="GM641" s="133"/>
      <c r="GN641" s="133"/>
      <c r="GO641" s="133"/>
      <c r="GP641" s="133"/>
      <c r="GQ641" s="133"/>
      <c r="GR641" s="133"/>
      <c r="GS641" s="133"/>
      <c r="GT641" s="133"/>
      <c r="GU641" s="133"/>
      <c r="GV641" s="133"/>
      <c r="GW641" s="133"/>
      <c r="GX641" s="133"/>
      <c r="GY641" s="133"/>
      <c r="GZ641" s="133"/>
      <c r="HA641" s="133"/>
      <c r="HB641" s="133"/>
      <c r="HC641" s="133"/>
      <c r="HD641" s="133"/>
      <c r="HE641" s="133"/>
      <c r="HF641" s="133"/>
      <c r="HG641" s="133"/>
      <c r="HH641" s="133"/>
      <c r="HI641" s="133"/>
      <c r="HJ641" s="133"/>
      <c r="HK641" s="133"/>
      <c r="HL641" s="133"/>
      <c r="HM641" s="133"/>
      <c r="HN641" s="133"/>
      <c r="HO641" s="133"/>
      <c r="HP641" s="133"/>
      <c r="HQ641" s="133"/>
      <c r="HR641" s="133"/>
      <c r="HS641" s="133"/>
      <c r="HT641" s="133"/>
      <c r="HU641" s="133"/>
      <c r="HV641" s="133"/>
      <c r="HW641" s="133"/>
      <c r="HX641" s="133"/>
      <c r="HY641" s="133"/>
      <c r="HZ641" s="133"/>
      <c r="IA641" s="133"/>
      <c r="IB641" s="133"/>
      <c r="IC641" s="133"/>
      <c r="ID641" s="133"/>
      <c r="IE641" s="133"/>
      <c r="IF641" s="133"/>
      <c r="IG641" s="133"/>
      <c r="IH641" s="133"/>
      <c r="II641" s="133"/>
      <c r="IJ641" s="133"/>
      <c r="IK641" s="133"/>
      <c r="IL641" s="133"/>
      <c r="IM641" s="133"/>
      <c r="IN641" s="133"/>
      <c r="IO641" s="133"/>
      <c r="IP641" s="133"/>
      <c r="IQ641" s="133"/>
      <c r="IR641" s="133"/>
      <c r="IS641" s="133"/>
      <c r="IT641" s="133"/>
      <c r="IU641" s="133"/>
      <c r="IV641" s="133"/>
    </row>
    <row r="642" spans="1:256" s="132" customFormat="1" ht="13.8">
      <c r="A642" s="133"/>
      <c r="B642" s="133"/>
      <c r="C642" s="133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GE642" s="133"/>
      <c r="GF642" s="133"/>
      <c r="GG642" s="133"/>
      <c r="GH642" s="133"/>
      <c r="GI642" s="133"/>
      <c r="GJ642" s="133"/>
      <c r="GK642" s="133"/>
      <c r="GL642" s="133"/>
      <c r="GM642" s="133"/>
      <c r="GN642" s="133"/>
      <c r="GO642" s="133"/>
      <c r="GP642" s="133"/>
      <c r="GQ642" s="133"/>
      <c r="GR642" s="133"/>
      <c r="GS642" s="133"/>
      <c r="GT642" s="133"/>
      <c r="GU642" s="133"/>
      <c r="GV642" s="133"/>
      <c r="GW642" s="133"/>
      <c r="GX642" s="133"/>
      <c r="GY642" s="133"/>
      <c r="GZ642" s="133"/>
      <c r="HA642" s="133"/>
      <c r="HB642" s="133"/>
      <c r="HC642" s="133"/>
      <c r="HD642" s="133"/>
      <c r="HE642" s="133"/>
      <c r="HF642" s="133"/>
      <c r="HG642" s="133"/>
      <c r="HH642" s="133"/>
      <c r="HI642" s="133"/>
      <c r="HJ642" s="133"/>
      <c r="HK642" s="133"/>
      <c r="HL642" s="133"/>
      <c r="HM642" s="133"/>
      <c r="HN642" s="133"/>
      <c r="HO642" s="133"/>
      <c r="HP642" s="133"/>
      <c r="HQ642" s="133"/>
      <c r="HR642" s="133"/>
      <c r="HS642" s="133"/>
      <c r="HT642" s="133"/>
      <c r="HU642" s="133"/>
      <c r="HV642" s="133"/>
      <c r="HW642" s="133"/>
      <c r="HX642" s="133"/>
      <c r="HY642" s="133"/>
      <c r="HZ642" s="133"/>
      <c r="IA642" s="133"/>
      <c r="IB642" s="133"/>
      <c r="IC642" s="133"/>
      <c r="ID642" s="133"/>
      <c r="IE642" s="133"/>
      <c r="IF642" s="133"/>
      <c r="IG642" s="133"/>
      <c r="IH642" s="133"/>
      <c r="II642" s="133"/>
      <c r="IJ642" s="133"/>
      <c r="IK642" s="133"/>
      <c r="IL642" s="133"/>
      <c r="IM642" s="133"/>
      <c r="IN642" s="133"/>
      <c r="IO642" s="133"/>
      <c r="IP642" s="133"/>
      <c r="IQ642" s="133"/>
      <c r="IR642" s="133"/>
      <c r="IS642" s="133"/>
      <c r="IT642" s="133"/>
      <c r="IU642" s="133"/>
      <c r="IV642" s="133"/>
    </row>
    <row r="643" spans="1:256" s="132" customFormat="1" ht="13.8">
      <c r="A643" s="133"/>
      <c r="B643" s="133"/>
      <c r="C643" s="133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GE643" s="133"/>
      <c r="GF643" s="133"/>
      <c r="GG643" s="133"/>
      <c r="GH643" s="133"/>
      <c r="GI643" s="133"/>
      <c r="GJ643" s="133"/>
      <c r="GK643" s="133"/>
      <c r="GL643" s="133"/>
      <c r="GM643" s="133"/>
      <c r="GN643" s="133"/>
      <c r="GO643" s="133"/>
      <c r="GP643" s="133"/>
      <c r="GQ643" s="133"/>
      <c r="GR643" s="133"/>
      <c r="GS643" s="133"/>
      <c r="GT643" s="133"/>
      <c r="GU643" s="133"/>
      <c r="GV643" s="133"/>
      <c r="GW643" s="133"/>
      <c r="GX643" s="133"/>
      <c r="GY643" s="133"/>
      <c r="GZ643" s="133"/>
      <c r="HA643" s="133"/>
      <c r="HB643" s="133"/>
      <c r="HC643" s="133"/>
      <c r="HD643" s="133"/>
      <c r="HE643" s="133"/>
      <c r="HF643" s="133"/>
      <c r="HG643" s="133"/>
      <c r="HH643" s="133"/>
      <c r="HI643" s="133"/>
      <c r="HJ643" s="133"/>
      <c r="HK643" s="133"/>
      <c r="HL643" s="133"/>
      <c r="HM643" s="133"/>
      <c r="HN643" s="133"/>
      <c r="HO643" s="133"/>
      <c r="HP643" s="133"/>
      <c r="HQ643" s="133"/>
      <c r="HR643" s="133"/>
      <c r="HS643" s="133"/>
      <c r="HT643" s="133"/>
      <c r="HU643" s="133"/>
      <c r="HV643" s="133"/>
      <c r="HW643" s="133"/>
      <c r="HX643" s="133"/>
      <c r="HY643" s="133"/>
      <c r="HZ643" s="133"/>
      <c r="IA643" s="133"/>
      <c r="IB643" s="133"/>
      <c r="IC643" s="133"/>
      <c r="ID643" s="133"/>
      <c r="IE643" s="133"/>
      <c r="IF643" s="133"/>
      <c r="IG643" s="133"/>
      <c r="IH643" s="133"/>
      <c r="II643" s="133"/>
      <c r="IJ643" s="133"/>
      <c r="IK643" s="133"/>
      <c r="IL643" s="133"/>
      <c r="IM643" s="133"/>
      <c r="IN643" s="133"/>
      <c r="IO643" s="133"/>
      <c r="IP643" s="133"/>
      <c r="IQ643" s="133"/>
      <c r="IR643" s="133"/>
      <c r="IS643" s="133"/>
      <c r="IT643" s="133"/>
      <c r="IU643" s="133"/>
      <c r="IV643" s="133"/>
    </row>
    <row r="644" spans="1:256" s="132" customFormat="1" ht="13.8">
      <c r="A644" s="133"/>
      <c r="B644" s="133"/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GE644" s="133"/>
      <c r="GF644" s="133"/>
      <c r="GG644" s="133"/>
      <c r="GH644" s="133"/>
      <c r="GI644" s="133"/>
      <c r="GJ644" s="133"/>
      <c r="GK644" s="133"/>
      <c r="GL644" s="133"/>
      <c r="GM644" s="133"/>
      <c r="GN644" s="133"/>
      <c r="GO644" s="133"/>
      <c r="GP644" s="133"/>
      <c r="GQ644" s="133"/>
      <c r="GR644" s="133"/>
      <c r="GS644" s="133"/>
      <c r="GT644" s="133"/>
      <c r="GU644" s="133"/>
      <c r="GV644" s="133"/>
      <c r="GW644" s="133"/>
      <c r="GX644" s="133"/>
      <c r="GY644" s="133"/>
      <c r="GZ644" s="133"/>
      <c r="HA644" s="133"/>
      <c r="HB644" s="133"/>
      <c r="HC644" s="133"/>
      <c r="HD644" s="133"/>
      <c r="HE644" s="133"/>
      <c r="HF644" s="133"/>
      <c r="HG644" s="133"/>
      <c r="HH644" s="133"/>
      <c r="HI644" s="133"/>
      <c r="HJ644" s="133"/>
      <c r="HK644" s="133"/>
      <c r="HL644" s="133"/>
      <c r="HM644" s="133"/>
      <c r="HN644" s="133"/>
      <c r="HO644" s="133"/>
      <c r="HP644" s="133"/>
      <c r="HQ644" s="133"/>
      <c r="HR644" s="133"/>
      <c r="HS644" s="133"/>
      <c r="HT644" s="133"/>
      <c r="HU644" s="133"/>
      <c r="HV644" s="133"/>
      <c r="HW644" s="133"/>
      <c r="HX644" s="133"/>
      <c r="HY644" s="133"/>
      <c r="HZ644" s="133"/>
      <c r="IA644" s="133"/>
      <c r="IB644" s="133"/>
      <c r="IC644" s="133"/>
      <c r="ID644" s="133"/>
      <c r="IE644" s="133"/>
      <c r="IF644" s="133"/>
      <c r="IG644" s="133"/>
      <c r="IH644" s="133"/>
      <c r="II644" s="133"/>
      <c r="IJ644" s="133"/>
      <c r="IK644" s="133"/>
      <c r="IL644" s="133"/>
      <c r="IM644" s="133"/>
      <c r="IN644" s="133"/>
      <c r="IO644" s="133"/>
      <c r="IP644" s="133"/>
      <c r="IQ644" s="133"/>
      <c r="IR644" s="133"/>
      <c r="IS644" s="133"/>
      <c r="IT644" s="133"/>
      <c r="IU644" s="133"/>
      <c r="IV644" s="133"/>
    </row>
    <row r="645" spans="1:256" s="132" customFormat="1" ht="13.8">
      <c r="A645" s="133"/>
      <c r="B645" s="133"/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GE645" s="133"/>
      <c r="GF645" s="133"/>
      <c r="GG645" s="133"/>
      <c r="GH645" s="133"/>
      <c r="GI645" s="133"/>
      <c r="GJ645" s="133"/>
      <c r="GK645" s="133"/>
      <c r="GL645" s="133"/>
      <c r="GM645" s="133"/>
      <c r="GN645" s="133"/>
      <c r="GO645" s="133"/>
      <c r="GP645" s="133"/>
      <c r="GQ645" s="133"/>
      <c r="GR645" s="133"/>
      <c r="GS645" s="133"/>
      <c r="GT645" s="133"/>
      <c r="GU645" s="133"/>
      <c r="GV645" s="133"/>
      <c r="GW645" s="133"/>
      <c r="GX645" s="133"/>
      <c r="GY645" s="133"/>
      <c r="GZ645" s="133"/>
      <c r="HA645" s="133"/>
      <c r="HB645" s="133"/>
      <c r="HC645" s="133"/>
      <c r="HD645" s="133"/>
      <c r="HE645" s="133"/>
      <c r="HF645" s="133"/>
      <c r="HG645" s="133"/>
      <c r="HH645" s="133"/>
      <c r="HI645" s="133"/>
      <c r="HJ645" s="133"/>
      <c r="HK645" s="133"/>
      <c r="HL645" s="133"/>
      <c r="HM645" s="133"/>
      <c r="HN645" s="133"/>
      <c r="HO645" s="133"/>
      <c r="HP645" s="133"/>
      <c r="HQ645" s="133"/>
      <c r="HR645" s="133"/>
      <c r="HS645" s="133"/>
      <c r="HT645" s="133"/>
      <c r="HU645" s="133"/>
      <c r="HV645" s="133"/>
      <c r="HW645" s="133"/>
      <c r="HX645" s="133"/>
      <c r="HY645" s="133"/>
      <c r="HZ645" s="133"/>
      <c r="IA645" s="133"/>
      <c r="IB645" s="133"/>
      <c r="IC645" s="133"/>
      <c r="ID645" s="133"/>
      <c r="IE645" s="133"/>
      <c r="IF645" s="133"/>
      <c r="IG645" s="133"/>
      <c r="IH645" s="133"/>
      <c r="II645" s="133"/>
      <c r="IJ645" s="133"/>
      <c r="IK645" s="133"/>
      <c r="IL645" s="133"/>
      <c r="IM645" s="133"/>
      <c r="IN645" s="133"/>
      <c r="IO645" s="133"/>
      <c r="IP645" s="133"/>
      <c r="IQ645" s="133"/>
      <c r="IR645" s="133"/>
      <c r="IS645" s="133"/>
      <c r="IT645" s="133"/>
      <c r="IU645" s="133"/>
      <c r="IV645" s="133"/>
    </row>
    <row r="646" spans="1:256" s="132" customFormat="1" ht="13.8">
      <c r="A646" s="133"/>
      <c r="B646" s="133"/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GE646" s="133"/>
      <c r="GF646" s="133"/>
      <c r="GG646" s="133"/>
      <c r="GH646" s="133"/>
      <c r="GI646" s="133"/>
      <c r="GJ646" s="133"/>
      <c r="GK646" s="133"/>
      <c r="GL646" s="133"/>
      <c r="GM646" s="133"/>
      <c r="GN646" s="133"/>
      <c r="GO646" s="133"/>
      <c r="GP646" s="133"/>
      <c r="GQ646" s="133"/>
      <c r="GR646" s="133"/>
      <c r="GS646" s="133"/>
      <c r="GT646" s="133"/>
      <c r="GU646" s="133"/>
      <c r="GV646" s="133"/>
      <c r="GW646" s="133"/>
      <c r="GX646" s="133"/>
      <c r="GY646" s="133"/>
      <c r="GZ646" s="133"/>
      <c r="HA646" s="133"/>
      <c r="HB646" s="133"/>
      <c r="HC646" s="133"/>
      <c r="HD646" s="133"/>
      <c r="HE646" s="133"/>
      <c r="HF646" s="133"/>
      <c r="HG646" s="133"/>
      <c r="HH646" s="133"/>
      <c r="HI646" s="133"/>
      <c r="HJ646" s="133"/>
      <c r="HK646" s="133"/>
      <c r="HL646" s="133"/>
      <c r="HM646" s="133"/>
      <c r="HN646" s="133"/>
      <c r="HO646" s="133"/>
      <c r="HP646" s="133"/>
      <c r="HQ646" s="133"/>
      <c r="HR646" s="133"/>
      <c r="HS646" s="133"/>
      <c r="HT646" s="133"/>
      <c r="HU646" s="133"/>
      <c r="HV646" s="133"/>
      <c r="HW646" s="133"/>
      <c r="HX646" s="133"/>
      <c r="HY646" s="133"/>
      <c r="HZ646" s="133"/>
      <c r="IA646" s="133"/>
      <c r="IB646" s="133"/>
      <c r="IC646" s="133"/>
      <c r="ID646" s="133"/>
      <c r="IE646" s="133"/>
      <c r="IF646" s="133"/>
      <c r="IG646" s="133"/>
      <c r="IH646" s="133"/>
      <c r="II646" s="133"/>
      <c r="IJ646" s="133"/>
      <c r="IK646" s="133"/>
      <c r="IL646" s="133"/>
      <c r="IM646" s="133"/>
      <c r="IN646" s="133"/>
      <c r="IO646" s="133"/>
      <c r="IP646" s="133"/>
      <c r="IQ646" s="133"/>
      <c r="IR646" s="133"/>
      <c r="IS646" s="133"/>
      <c r="IT646" s="133"/>
      <c r="IU646" s="133"/>
      <c r="IV646" s="133"/>
    </row>
    <row r="647" spans="1:256" s="132" customFormat="1" ht="13.8">
      <c r="A647" s="133"/>
      <c r="B647" s="133"/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GE647" s="133"/>
      <c r="GF647" s="133"/>
      <c r="GG647" s="133"/>
      <c r="GH647" s="133"/>
      <c r="GI647" s="133"/>
      <c r="GJ647" s="133"/>
      <c r="GK647" s="133"/>
      <c r="GL647" s="133"/>
      <c r="GM647" s="133"/>
      <c r="GN647" s="133"/>
      <c r="GO647" s="133"/>
      <c r="GP647" s="133"/>
      <c r="GQ647" s="133"/>
      <c r="GR647" s="133"/>
      <c r="GS647" s="133"/>
      <c r="GT647" s="133"/>
      <c r="GU647" s="133"/>
      <c r="GV647" s="133"/>
      <c r="GW647" s="133"/>
      <c r="GX647" s="133"/>
      <c r="GY647" s="133"/>
      <c r="GZ647" s="133"/>
      <c r="HA647" s="133"/>
      <c r="HB647" s="133"/>
      <c r="HC647" s="133"/>
      <c r="HD647" s="133"/>
      <c r="HE647" s="133"/>
      <c r="HF647" s="133"/>
      <c r="HG647" s="133"/>
      <c r="HH647" s="133"/>
      <c r="HI647" s="133"/>
      <c r="HJ647" s="133"/>
      <c r="HK647" s="133"/>
      <c r="HL647" s="133"/>
      <c r="HM647" s="133"/>
      <c r="HN647" s="133"/>
      <c r="HO647" s="133"/>
      <c r="HP647" s="133"/>
      <c r="HQ647" s="133"/>
      <c r="HR647" s="133"/>
      <c r="HS647" s="133"/>
      <c r="HT647" s="133"/>
      <c r="HU647" s="133"/>
      <c r="HV647" s="133"/>
      <c r="HW647" s="133"/>
      <c r="HX647" s="133"/>
      <c r="HY647" s="133"/>
      <c r="HZ647" s="133"/>
      <c r="IA647" s="133"/>
      <c r="IB647" s="133"/>
      <c r="IC647" s="133"/>
      <c r="ID647" s="133"/>
      <c r="IE647" s="133"/>
      <c r="IF647" s="133"/>
      <c r="IG647" s="133"/>
      <c r="IH647" s="133"/>
      <c r="II647" s="133"/>
      <c r="IJ647" s="133"/>
      <c r="IK647" s="133"/>
      <c r="IL647" s="133"/>
      <c r="IM647" s="133"/>
      <c r="IN647" s="133"/>
      <c r="IO647" s="133"/>
      <c r="IP647" s="133"/>
      <c r="IQ647" s="133"/>
      <c r="IR647" s="133"/>
      <c r="IS647" s="133"/>
      <c r="IT647" s="133"/>
      <c r="IU647" s="133"/>
      <c r="IV647" s="133"/>
    </row>
    <row r="648" spans="1:256" s="132" customFormat="1" ht="13.8">
      <c r="A648" s="133"/>
      <c r="B648" s="133"/>
      <c r="C648" s="133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GE648" s="133"/>
      <c r="GF648" s="133"/>
      <c r="GG648" s="133"/>
      <c r="GH648" s="133"/>
      <c r="GI648" s="133"/>
      <c r="GJ648" s="133"/>
      <c r="GK648" s="133"/>
      <c r="GL648" s="133"/>
      <c r="GM648" s="133"/>
      <c r="GN648" s="133"/>
      <c r="GO648" s="133"/>
      <c r="GP648" s="133"/>
      <c r="GQ648" s="133"/>
      <c r="GR648" s="133"/>
      <c r="GS648" s="133"/>
      <c r="GT648" s="133"/>
      <c r="GU648" s="133"/>
      <c r="GV648" s="133"/>
      <c r="GW648" s="133"/>
      <c r="GX648" s="133"/>
      <c r="GY648" s="133"/>
      <c r="GZ648" s="133"/>
      <c r="HA648" s="133"/>
      <c r="HB648" s="133"/>
      <c r="HC648" s="133"/>
      <c r="HD648" s="133"/>
      <c r="HE648" s="133"/>
      <c r="HF648" s="133"/>
      <c r="HG648" s="133"/>
      <c r="HH648" s="133"/>
      <c r="HI648" s="133"/>
      <c r="HJ648" s="133"/>
      <c r="HK648" s="133"/>
      <c r="HL648" s="133"/>
      <c r="HM648" s="133"/>
      <c r="HN648" s="133"/>
      <c r="HO648" s="133"/>
      <c r="HP648" s="133"/>
      <c r="HQ648" s="133"/>
      <c r="HR648" s="133"/>
      <c r="HS648" s="133"/>
      <c r="HT648" s="133"/>
      <c r="HU648" s="133"/>
      <c r="HV648" s="133"/>
      <c r="HW648" s="133"/>
      <c r="HX648" s="133"/>
      <c r="HY648" s="133"/>
      <c r="HZ648" s="133"/>
      <c r="IA648" s="133"/>
      <c r="IB648" s="133"/>
      <c r="IC648" s="133"/>
      <c r="ID648" s="133"/>
      <c r="IE648" s="133"/>
      <c r="IF648" s="133"/>
      <c r="IG648" s="133"/>
      <c r="IH648" s="133"/>
      <c r="II648" s="133"/>
      <c r="IJ648" s="133"/>
      <c r="IK648" s="133"/>
      <c r="IL648" s="133"/>
      <c r="IM648" s="133"/>
      <c r="IN648" s="133"/>
      <c r="IO648" s="133"/>
      <c r="IP648" s="133"/>
      <c r="IQ648" s="133"/>
      <c r="IR648" s="133"/>
      <c r="IS648" s="133"/>
      <c r="IT648" s="133"/>
      <c r="IU648" s="133"/>
      <c r="IV648" s="133"/>
    </row>
    <row r="649" spans="1:256" s="132" customFormat="1" ht="13.8">
      <c r="A649" s="133"/>
      <c r="B649" s="133"/>
      <c r="C649" s="133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GE649" s="133"/>
      <c r="GF649" s="133"/>
      <c r="GG649" s="133"/>
      <c r="GH649" s="133"/>
      <c r="GI649" s="133"/>
      <c r="GJ649" s="133"/>
      <c r="GK649" s="133"/>
      <c r="GL649" s="133"/>
      <c r="GM649" s="133"/>
      <c r="GN649" s="133"/>
      <c r="GO649" s="133"/>
      <c r="GP649" s="133"/>
      <c r="GQ649" s="133"/>
      <c r="GR649" s="133"/>
      <c r="GS649" s="133"/>
      <c r="GT649" s="133"/>
      <c r="GU649" s="133"/>
      <c r="GV649" s="133"/>
      <c r="GW649" s="133"/>
      <c r="GX649" s="133"/>
      <c r="GY649" s="133"/>
      <c r="GZ649" s="133"/>
      <c r="HA649" s="133"/>
      <c r="HB649" s="133"/>
      <c r="HC649" s="133"/>
      <c r="HD649" s="133"/>
      <c r="HE649" s="133"/>
      <c r="HF649" s="133"/>
      <c r="HG649" s="133"/>
      <c r="HH649" s="133"/>
      <c r="HI649" s="133"/>
      <c r="HJ649" s="133"/>
      <c r="HK649" s="133"/>
      <c r="HL649" s="133"/>
      <c r="HM649" s="133"/>
      <c r="HN649" s="133"/>
      <c r="HO649" s="133"/>
      <c r="HP649" s="133"/>
      <c r="HQ649" s="133"/>
      <c r="HR649" s="133"/>
      <c r="HS649" s="133"/>
      <c r="HT649" s="133"/>
      <c r="HU649" s="133"/>
      <c r="HV649" s="133"/>
      <c r="HW649" s="133"/>
      <c r="HX649" s="133"/>
      <c r="HY649" s="133"/>
      <c r="HZ649" s="133"/>
      <c r="IA649" s="133"/>
      <c r="IB649" s="133"/>
      <c r="IC649" s="133"/>
      <c r="ID649" s="133"/>
      <c r="IE649" s="133"/>
      <c r="IF649" s="133"/>
      <c r="IG649" s="133"/>
      <c r="IH649" s="133"/>
      <c r="II649" s="133"/>
      <c r="IJ649" s="133"/>
      <c r="IK649" s="133"/>
      <c r="IL649" s="133"/>
      <c r="IM649" s="133"/>
      <c r="IN649" s="133"/>
      <c r="IO649" s="133"/>
      <c r="IP649" s="133"/>
      <c r="IQ649" s="133"/>
      <c r="IR649" s="133"/>
      <c r="IS649" s="133"/>
      <c r="IT649" s="133"/>
      <c r="IU649" s="133"/>
      <c r="IV649" s="133"/>
    </row>
    <row r="650" spans="1:256" s="132" customFormat="1" ht="13.8">
      <c r="A650" s="133"/>
      <c r="B650" s="133"/>
      <c r="C650" s="133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GE650" s="133"/>
      <c r="GF650" s="133"/>
      <c r="GG650" s="133"/>
      <c r="GH650" s="133"/>
      <c r="GI650" s="133"/>
      <c r="GJ650" s="133"/>
      <c r="GK650" s="133"/>
      <c r="GL650" s="133"/>
      <c r="GM650" s="133"/>
      <c r="GN650" s="133"/>
      <c r="GO650" s="133"/>
      <c r="GP650" s="133"/>
      <c r="GQ650" s="133"/>
      <c r="GR650" s="133"/>
      <c r="GS650" s="133"/>
      <c r="GT650" s="133"/>
      <c r="GU650" s="133"/>
      <c r="GV650" s="133"/>
      <c r="GW650" s="133"/>
      <c r="GX650" s="133"/>
      <c r="GY650" s="133"/>
      <c r="GZ650" s="133"/>
      <c r="HA650" s="133"/>
      <c r="HB650" s="133"/>
      <c r="HC650" s="133"/>
      <c r="HD650" s="133"/>
      <c r="HE650" s="133"/>
      <c r="HF650" s="133"/>
      <c r="HG650" s="133"/>
      <c r="HH650" s="133"/>
      <c r="HI650" s="133"/>
      <c r="HJ650" s="133"/>
      <c r="HK650" s="133"/>
      <c r="HL650" s="133"/>
      <c r="HM650" s="133"/>
      <c r="HN650" s="133"/>
      <c r="HO650" s="133"/>
      <c r="HP650" s="133"/>
      <c r="HQ650" s="133"/>
      <c r="HR650" s="133"/>
      <c r="HS650" s="133"/>
      <c r="HT650" s="133"/>
      <c r="HU650" s="133"/>
      <c r="HV650" s="133"/>
      <c r="HW650" s="133"/>
      <c r="HX650" s="133"/>
      <c r="HY650" s="133"/>
      <c r="HZ650" s="133"/>
      <c r="IA650" s="133"/>
      <c r="IB650" s="133"/>
      <c r="IC650" s="133"/>
      <c r="ID650" s="133"/>
      <c r="IE650" s="133"/>
      <c r="IF650" s="133"/>
      <c r="IG650" s="133"/>
      <c r="IH650" s="133"/>
      <c r="II650" s="133"/>
      <c r="IJ650" s="133"/>
      <c r="IK650" s="133"/>
      <c r="IL650" s="133"/>
      <c r="IM650" s="133"/>
      <c r="IN650" s="133"/>
      <c r="IO650" s="133"/>
      <c r="IP650" s="133"/>
      <c r="IQ650" s="133"/>
      <c r="IR650" s="133"/>
      <c r="IS650" s="133"/>
      <c r="IT650" s="133"/>
      <c r="IU650" s="133"/>
      <c r="IV650" s="133"/>
    </row>
    <row r="651" spans="1:256" s="132" customFormat="1" ht="13.8">
      <c r="A651" s="133"/>
      <c r="B651" s="133"/>
      <c r="C651" s="133"/>
      <c r="D651" s="133"/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GE651" s="133"/>
      <c r="GF651" s="133"/>
      <c r="GG651" s="133"/>
      <c r="GH651" s="133"/>
      <c r="GI651" s="133"/>
      <c r="GJ651" s="133"/>
      <c r="GK651" s="133"/>
      <c r="GL651" s="133"/>
      <c r="GM651" s="133"/>
      <c r="GN651" s="133"/>
      <c r="GO651" s="133"/>
      <c r="GP651" s="133"/>
      <c r="GQ651" s="133"/>
      <c r="GR651" s="133"/>
      <c r="GS651" s="133"/>
      <c r="GT651" s="133"/>
      <c r="GU651" s="133"/>
      <c r="GV651" s="133"/>
      <c r="GW651" s="133"/>
      <c r="GX651" s="133"/>
      <c r="GY651" s="133"/>
      <c r="GZ651" s="133"/>
      <c r="HA651" s="133"/>
      <c r="HB651" s="133"/>
      <c r="HC651" s="133"/>
      <c r="HD651" s="133"/>
      <c r="HE651" s="133"/>
      <c r="HF651" s="133"/>
      <c r="HG651" s="133"/>
      <c r="HH651" s="133"/>
      <c r="HI651" s="133"/>
      <c r="HJ651" s="133"/>
      <c r="HK651" s="133"/>
      <c r="HL651" s="133"/>
      <c r="HM651" s="133"/>
      <c r="HN651" s="133"/>
      <c r="HO651" s="133"/>
      <c r="HP651" s="133"/>
      <c r="HQ651" s="133"/>
      <c r="HR651" s="133"/>
      <c r="HS651" s="133"/>
      <c r="HT651" s="133"/>
      <c r="HU651" s="133"/>
      <c r="HV651" s="133"/>
      <c r="HW651" s="133"/>
      <c r="HX651" s="133"/>
      <c r="HY651" s="133"/>
      <c r="HZ651" s="133"/>
      <c r="IA651" s="133"/>
      <c r="IB651" s="133"/>
      <c r="IC651" s="133"/>
      <c r="ID651" s="133"/>
      <c r="IE651" s="133"/>
      <c r="IF651" s="133"/>
      <c r="IG651" s="133"/>
      <c r="IH651" s="133"/>
      <c r="II651" s="133"/>
      <c r="IJ651" s="133"/>
      <c r="IK651" s="133"/>
      <c r="IL651" s="133"/>
      <c r="IM651" s="133"/>
      <c r="IN651" s="133"/>
      <c r="IO651" s="133"/>
      <c r="IP651" s="133"/>
      <c r="IQ651" s="133"/>
      <c r="IR651" s="133"/>
      <c r="IS651" s="133"/>
      <c r="IT651" s="133"/>
      <c r="IU651" s="133"/>
      <c r="IV651" s="133"/>
    </row>
    <row r="652" spans="1:256" s="132" customFormat="1" ht="13.8">
      <c r="A652" s="133"/>
      <c r="B652" s="133"/>
      <c r="C652" s="133"/>
      <c r="D652" s="133"/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GE652" s="133"/>
      <c r="GF652" s="133"/>
      <c r="GG652" s="133"/>
      <c r="GH652" s="133"/>
      <c r="GI652" s="133"/>
      <c r="GJ652" s="133"/>
      <c r="GK652" s="133"/>
      <c r="GL652" s="133"/>
      <c r="GM652" s="133"/>
      <c r="GN652" s="133"/>
      <c r="GO652" s="133"/>
      <c r="GP652" s="133"/>
      <c r="GQ652" s="133"/>
      <c r="GR652" s="133"/>
      <c r="GS652" s="133"/>
      <c r="GT652" s="133"/>
      <c r="GU652" s="133"/>
      <c r="GV652" s="133"/>
      <c r="GW652" s="133"/>
      <c r="GX652" s="133"/>
      <c r="GY652" s="133"/>
      <c r="GZ652" s="133"/>
      <c r="HA652" s="133"/>
      <c r="HB652" s="133"/>
      <c r="HC652" s="133"/>
      <c r="HD652" s="133"/>
      <c r="HE652" s="133"/>
      <c r="HF652" s="133"/>
      <c r="HG652" s="133"/>
      <c r="HH652" s="133"/>
      <c r="HI652" s="133"/>
      <c r="HJ652" s="133"/>
      <c r="HK652" s="133"/>
      <c r="HL652" s="133"/>
      <c r="HM652" s="133"/>
      <c r="HN652" s="133"/>
      <c r="HO652" s="133"/>
      <c r="HP652" s="133"/>
      <c r="HQ652" s="133"/>
      <c r="HR652" s="133"/>
      <c r="HS652" s="133"/>
      <c r="HT652" s="133"/>
      <c r="HU652" s="133"/>
      <c r="HV652" s="133"/>
      <c r="HW652" s="133"/>
      <c r="HX652" s="133"/>
      <c r="HY652" s="133"/>
      <c r="HZ652" s="133"/>
      <c r="IA652" s="133"/>
      <c r="IB652" s="133"/>
      <c r="IC652" s="133"/>
      <c r="ID652" s="133"/>
      <c r="IE652" s="133"/>
      <c r="IF652" s="133"/>
      <c r="IG652" s="133"/>
      <c r="IH652" s="133"/>
      <c r="II652" s="133"/>
      <c r="IJ652" s="133"/>
      <c r="IK652" s="133"/>
      <c r="IL652" s="133"/>
      <c r="IM652" s="133"/>
      <c r="IN652" s="133"/>
      <c r="IO652" s="133"/>
      <c r="IP652" s="133"/>
      <c r="IQ652" s="133"/>
      <c r="IR652" s="133"/>
      <c r="IS652" s="133"/>
      <c r="IT652" s="133"/>
      <c r="IU652" s="133"/>
      <c r="IV652" s="133"/>
    </row>
    <row r="653" spans="1:256" s="132" customFormat="1" ht="13.8">
      <c r="A653" s="133"/>
      <c r="B653" s="133"/>
      <c r="C653" s="133"/>
      <c r="D653" s="133"/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GE653" s="133"/>
      <c r="GF653" s="133"/>
      <c r="GG653" s="133"/>
      <c r="GH653" s="133"/>
      <c r="GI653" s="133"/>
      <c r="GJ653" s="133"/>
      <c r="GK653" s="133"/>
      <c r="GL653" s="133"/>
      <c r="GM653" s="133"/>
      <c r="GN653" s="133"/>
      <c r="GO653" s="133"/>
      <c r="GP653" s="133"/>
      <c r="GQ653" s="133"/>
      <c r="GR653" s="133"/>
      <c r="GS653" s="133"/>
      <c r="GT653" s="133"/>
      <c r="GU653" s="133"/>
      <c r="GV653" s="133"/>
      <c r="GW653" s="133"/>
      <c r="GX653" s="133"/>
      <c r="GY653" s="133"/>
      <c r="GZ653" s="133"/>
      <c r="HA653" s="133"/>
      <c r="HB653" s="133"/>
      <c r="HC653" s="133"/>
      <c r="HD653" s="133"/>
      <c r="HE653" s="133"/>
      <c r="HF653" s="133"/>
      <c r="HG653" s="133"/>
      <c r="HH653" s="133"/>
      <c r="HI653" s="133"/>
      <c r="HJ653" s="133"/>
      <c r="HK653" s="133"/>
      <c r="HL653" s="133"/>
      <c r="HM653" s="133"/>
      <c r="HN653" s="133"/>
      <c r="HO653" s="133"/>
      <c r="HP653" s="133"/>
      <c r="HQ653" s="133"/>
      <c r="HR653" s="133"/>
      <c r="HS653" s="133"/>
      <c r="HT653" s="133"/>
      <c r="HU653" s="133"/>
      <c r="HV653" s="133"/>
      <c r="HW653" s="133"/>
      <c r="HX653" s="133"/>
      <c r="HY653" s="133"/>
      <c r="HZ653" s="133"/>
      <c r="IA653" s="133"/>
      <c r="IB653" s="133"/>
      <c r="IC653" s="133"/>
      <c r="ID653" s="133"/>
      <c r="IE653" s="133"/>
      <c r="IF653" s="133"/>
      <c r="IG653" s="133"/>
      <c r="IH653" s="133"/>
      <c r="II653" s="133"/>
      <c r="IJ653" s="133"/>
      <c r="IK653" s="133"/>
      <c r="IL653" s="133"/>
      <c r="IM653" s="133"/>
      <c r="IN653" s="133"/>
      <c r="IO653" s="133"/>
      <c r="IP653" s="133"/>
      <c r="IQ653" s="133"/>
      <c r="IR653" s="133"/>
      <c r="IS653" s="133"/>
      <c r="IT653" s="133"/>
      <c r="IU653" s="133"/>
      <c r="IV653" s="133"/>
    </row>
    <row r="654" spans="1:256" s="132" customFormat="1" ht="13.8">
      <c r="A654" s="133"/>
      <c r="B654" s="133"/>
      <c r="C654" s="133"/>
      <c r="D654" s="133"/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GE654" s="133"/>
      <c r="GF654" s="133"/>
      <c r="GG654" s="133"/>
      <c r="GH654" s="133"/>
      <c r="GI654" s="133"/>
      <c r="GJ654" s="133"/>
      <c r="GK654" s="133"/>
      <c r="GL654" s="133"/>
      <c r="GM654" s="133"/>
      <c r="GN654" s="133"/>
      <c r="GO654" s="133"/>
      <c r="GP654" s="133"/>
      <c r="GQ654" s="133"/>
      <c r="GR654" s="133"/>
      <c r="GS654" s="133"/>
      <c r="GT654" s="133"/>
      <c r="GU654" s="133"/>
      <c r="GV654" s="133"/>
      <c r="GW654" s="133"/>
      <c r="GX654" s="133"/>
      <c r="GY654" s="133"/>
      <c r="GZ654" s="133"/>
      <c r="HA654" s="133"/>
      <c r="HB654" s="133"/>
      <c r="HC654" s="133"/>
      <c r="HD654" s="133"/>
      <c r="HE654" s="133"/>
      <c r="HF654" s="133"/>
      <c r="HG654" s="133"/>
      <c r="HH654" s="133"/>
      <c r="HI654" s="133"/>
      <c r="HJ654" s="133"/>
      <c r="HK654" s="133"/>
      <c r="HL654" s="133"/>
      <c r="HM654" s="133"/>
      <c r="HN654" s="133"/>
      <c r="HO654" s="133"/>
      <c r="HP654" s="133"/>
      <c r="HQ654" s="133"/>
      <c r="HR654" s="133"/>
      <c r="HS654" s="133"/>
      <c r="HT654" s="133"/>
      <c r="HU654" s="133"/>
      <c r="HV654" s="133"/>
      <c r="HW654" s="133"/>
      <c r="HX654" s="133"/>
      <c r="HY654" s="133"/>
      <c r="HZ654" s="133"/>
      <c r="IA654" s="133"/>
      <c r="IB654" s="133"/>
      <c r="IC654" s="133"/>
      <c r="ID654" s="133"/>
      <c r="IE654" s="133"/>
      <c r="IF654" s="133"/>
      <c r="IG654" s="133"/>
      <c r="IH654" s="133"/>
      <c r="II654" s="133"/>
      <c r="IJ654" s="133"/>
      <c r="IK654" s="133"/>
      <c r="IL654" s="133"/>
      <c r="IM654" s="133"/>
      <c r="IN654" s="133"/>
      <c r="IO654" s="133"/>
      <c r="IP654" s="133"/>
      <c r="IQ654" s="133"/>
      <c r="IR654" s="133"/>
      <c r="IS654" s="133"/>
      <c r="IT654" s="133"/>
      <c r="IU654" s="133"/>
      <c r="IV654" s="133"/>
    </row>
    <row r="655" spans="1:256" s="132" customFormat="1" ht="13.8">
      <c r="A655" s="133"/>
      <c r="B655" s="133"/>
      <c r="C655" s="133"/>
      <c r="D655" s="133"/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GE655" s="133"/>
      <c r="GF655" s="133"/>
      <c r="GG655" s="133"/>
      <c r="GH655" s="133"/>
      <c r="GI655" s="133"/>
      <c r="GJ655" s="133"/>
      <c r="GK655" s="133"/>
      <c r="GL655" s="133"/>
      <c r="GM655" s="133"/>
      <c r="GN655" s="133"/>
      <c r="GO655" s="133"/>
      <c r="GP655" s="133"/>
      <c r="GQ655" s="133"/>
      <c r="GR655" s="133"/>
      <c r="GS655" s="133"/>
      <c r="GT655" s="133"/>
      <c r="GU655" s="133"/>
      <c r="GV655" s="133"/>
      <c r="GW655" s="133"/>
      <c r="GX655" s="133"/>
      <c r="GY655" s="133"/>
      <c r="GZ655" s="133"/>
      <c r="HA655" s="133"/>
      <c r="HB655" s="133"/>
      <c r="HC655" s="133"/>
      <c r="HD655" s="133"/>
      <c r="HE655" s="133"/>
      <c r="HF655" s="133"/>
      <c r="HG655" s="133"/>
      <c r="HH655" s="133"/>
      <c r="HI655" s="133"/>
      <c r="HJ655" s="133"/>
      <c r="HK655" s="133"/>
      <c r="HL655" s="133"/>
      <c r="HM655" s="133"/>
      <c r="HN655" s="133"/>
      <c r="HO655" s="133"/>
      <c r="HP655" s="133"/>
      <c r="HQ655" s="133"/>
      <c r="HR655" s="133"/>
      <c r="HS655" s="133"/>
      <c r="HT655" s="133"/>
      <c r="HU655" s="133"/>
      <c r="HV655" s="133"/>
      <c r="HW655" s="133"/>
      <c r="HX655" s="133"/>
      <c r="HY655" s="133"/>
      <c r="HZ655" s="133"/>
      <c r="IA655" s="133"/>
      <c r="IB655" s="133"/>
      <c r="IC655" s="133"/>
      <c r="ID655" s="133"/>
      <c r="IE655" s="133"/>
      <c r="IF655" s="133"/>
      <c r="IG655" s="133"/>
      <c r="IH655" s="133"/>
      <c r="II655" s="133"/>
      <c r="IJ655" s="133"/>
      <c r="IK655" s="133"/>
      <c r="IL655" s="133"/>
      <c r="IM655" s="133"/>
      <c r="IN655" s="133"/>
      <c r="IO655" s="133"/>
      <c r="IP655" s="133"/>
      <c r="IQ655" s="133"/>
      <c r="IR655" s="133"/>
      <c r="IS655" s="133"/>
      <c r="IT655" s="133"/>
      <c r="IU655" s="133"/>
      <c r="IV655" s="133"/>
    </row>
    <row r="656" spans="1:256" s="132" customFormat="1" ht="13.8">
      <c r="A656" s="133"/>
      <c r="B656" s="133"/>
      <c r="C656" s="133"/>
      <c r="D656" s="133"/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GE656" s="133"/>
      <c r="GF656" s="133"/>
      <c r="GG656" s="133"/>
      <c r="GH656" s="133"/>
      <c r="GI656" s="133"/>
      <c r="GJ656" s="133"/>
      <c r="GK656" s="133"/>
      <c r="GL656" s="133"/>
      <c r="GM656" s="133"/>
      <c r="GN656" s="133"/>
      <c r="GO656" s="133"/>
      <c r="GP656" s="133"/>
      <c r="GQ656" s="133"/>
      <c r="GR656" s="133"/>
      <c r="GS656" s="133"/>
      <c r="GT656" s="133"/>
      <c r="GU656" s="133"/>
      <c r="GV656" s="133"/>
      <c r="GW656" s="133"/>
      <c r="GX656" s="133"/>
      <c r="GY656" s="133"/>
      <c r="GZ656" s="133"/>
      <c r="HA656" s="133"/>
      <c r="HB656" s="133"/>
      <c r="HC656" s="133"/>
      <c r="HD656" s="133"/>
      <c r="HE656" s="133"/>
      <c r="HF656" s="133"/>
      <c r="HG656" s="133"/>
      <c r="HH656" s="133"/>
      <c r="HI656" s="133"/>
      <c r="HJ656" s="133"/>
      <c r="HK656" s="133"/>
      <c r="HL656" s="133"/>
      <c r="HM656" s="133"/>
      <c r="HN656" s="133"/>
      <c r="HO656" s="133"/>
      <c r="HP656" s="133"/>
      <c r="HQ656" s="133"/>
      <c r="HR656" s="133"/>
      <c r="HS656" s="133"/>
      <c r="HT656" s="133"/>
      <c r="HU656" s="133"/>
      <c r="HV656" s="133"/>
      <c r="HW656" s="133"/>
      <c r="HX656" s="133"/>
      <c r="HY656" s="133"/>
      <c r="HZ656" s="133"/>
      <c r="IA656" s="133"/>
      <c r="IB656" s="133"/>
      <c r="IC656" s="133"/>
      <c r="ID656" s="133"/>
      <c r="IE656" s="133"/>
      <c r="IF656" s="133"/>
      <c r="IG656" s="133"/>
      <c r="IH656" s="133"/>
      <c r="II656" s="133"/>
      <c r="IJ656" s="133"/>
      <c r="IK656" s="133"/>
      <c r="IL656" s="133"/>
      <c r="IM656" s="133"/>
      <c r="IN656" s="133"/>
      <c r="IO656" s="133"/>
      <c r="IP656" s="133"/>
      <c r="IQ656" s="133"/>
      <c r="IR656" s="133"/>
      <c r="IS656" s="133"/>
      <c r="IT656" s="133"/>
      <c r="IU656" s="133"/>
      <c r="IV656" s="133"/>
    </row>
    <row r="657" spans="1:256" s="132" customFormat="1" ht="13.8">
      <c r="A657" s="133"/>
      <c r="B657" s="133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GE657" s="133"/>
      <c r="GF657" s="133"/>
      <c r="GG657" s="133"/>
      <c r="GH657" s="133"/>
      <c r="GI657" s="133"/>
      <c r="GJ657" s="133"/>
      <c r="GK657" s="133"/>
      <c r="GL657" s="133"/>
      <c r="GM657" s="133"/>
      <c r="GN657" s="133"/>
      <c r="GO657" s="133"/>
      <c r="GP657" s="133"/>
      <c r="GQ657" s="133"/>
      <c r="GR657" s="133"/>
      <c r="GS657" s="133"/>
      <c r="GT657" s="133"/>
      <c r="GU657" s="133"/>
      <c r="GV657" s="133"/>
      <c r="GW657" s="133"/>
      <c r="GX657" s="133"/>
      <c r="GY657" s="133"/>
      <c r="GZ657" s="133"/>
      <c r="HA657" s="133"/>
      <c r="HB657" s="133"/>
      <c r="HC657" s="133"/>
      <c r="HD657" s="133"/>
      <c r="HE657" s="133"/>
      <c r="HF657" s="133"/>
      <c r="HG657" s="133"/>
      <c r="HH657" s="133"/>
      <c r="HI657" s="133"/>
      <c r="HJ657" s="133"/>
      <c r="HK657" s="133"/>
      <c r="HL657" s="133"/>
      <c r="HM657" s="133"/>
      <c r="HN657" s="133"/>
      <c r="HO657" s="133"/>
      <c r="HP657" s="133"/>
      <c r="HQ657" s="133"/>
      <c r="HR657" s="133"/>
      <c r="HS657" s="133"/>
      <c r="HT657" s="133"/>
      <c r="HU657" s="133"/>
      <c r="HV657" s="133"/>
      <c r="HW657" s="133"/>
      <c r="HX657" s="133"/>
      <c r="HY657" s="133"/>
      <c r="HZ657" s="133"/>
      <c r="IA657" s="133"/>
      <c r="IB657" s="133"/>
      <c r="IC657" s="133"/>
      <c r="ID657" s="133"/>
      <c r="IE657" s="133"/>
      <c r="IF657" s="133"/>
      <c r="IG657" s="133"/>
      <c r="IH657" s="133"/>
      <c r="II657" s="133"/>
      <c r="IJ657" s="133"/>
      <c r="IK657" s="133"/>
      <c r="IL657" s="133"/>
      <c r="IM657" s="133"/>
      <c r="IN657" s="133"/>
      <c r="IO657" s="133"/>
      <c r="IP657" s="133"/>
      <c r="IQ657" s="133"/>
      <c r="IR657" s="133"/>
      <c r="IS657" s="133"/>
      <c r="IT657" s="133"/>
      <c r="IU657" s="133"/>
      <c r="IV657" s="133"/>
    </row>
    <row r="658" spans="1:256" s="132" customFormat="1" ht="13.8">
      <c r="A658" s="133"/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GE658" s="133"/>
      <c r="GF658" s="133"/>
      <c r="GG658" s="133"/>
      <c r="GH658" s="133"/>
      <c r="GI658" s="133"/>
      <c r="GJ658" s="133"/>
      <c r="GK658" s="133"/>
      <c r="GL658" s="133"/>
      <c r="GM658" s="133"/>
      <c r="GN658" s="133"/>
      <c r="GO658" s="133"/>
      <c r="GP658" s="133"/>
      <c r="GQ658" s="133"/>
      <c r="GR658" s="133"/>
      <c r="GS658" s="133"/>
      <c r="GT658" s="133"/>
      <c r="GU658" s="133"/>
      <c r="GV658" s="133"/>
      <c r="GW658" s="133"/>
      <c r="GX658" s="133"/>
      <c r="GY658" s="133"/>
      <c r="GZ658" s="133"/>
      <c r="HA658" s="133"/>
      <c r="HB658" s="133"/>
      <c r="HC658" s="133"/>
      <c r="HD658" s="133"/>
      <c r="HE658" s="133"/>
      <c r="HF658" s="133"/>
      <c r="HG658" s="133"/>
      <c r="HH658" s="133"/>
      <c r="HI658" s="133"/>
      <c r="HJ658" s="133"/>
      <c r="HK658" s="133"/>
      <c r="HL658" s="133"/>
      <c r="HM658" s="133"/>
      <c r="HN658" s="133"/>
      <c r="HO658" s="133"/>
      <c r="HP658" s="133"/>
      <c r="HQ658" s="133"/>
      <c r="HR658" s="133"/>
      <c r="HS658" s="133"/>
      <c r="HT658" s="133"/>
      <c r="HU658" s="133"/>
      <c r="HV658" s="133"/>
      <c r="HW658" s="133"/>
      <c r="HX658" s="133"/>
      <c r="HY658" s="133"/>
      <c r="HZ658" s="133"/>
      <c r="IA658" s="133"/>
      <c r="IB658" s="133"/>
      <c r="IC658" s="133"/>
      <c r="ID658" s="133"/>
      <c r="IE658" s="133"/>
      <c r="IF658" s="133"/>
      <c r="IG658" s="133"/>
      <c r="IH658" s="133"/>
      <c r="II658" s="133"/>
      <c r="IJ658" s="133"/>
      <c r="IK658" s="133"/>
      <c r="IL658" s="133"/>
      <c r="IM658" s="133"/>
      <c r="IN658" s="133"/>
      <c r="IO658" s="133"/>
      <c r="IP658" s="133"/>
      <c r="IQ658" s="133"/>
      <c r="IR658" s="133"/>
      <c r="IS658" s="133"/>
      <c r="IT658" s="133"/>
      <c r="IU658" s="133"/>
      <c r="IV658" s="133"/>
    </row>
    <row r="659" spans="1:256" s="132" customFormat="1" ht="13.8">
      <c r="A659" s="133"/>
      <c r="B659" s="133"/>
      <c r="C659" s="133"/>
      <c r="D659" s="133"/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GE659" s="133"/>
      <c r="GF659" s="133"/>
      <c r="GG659" s="133"/>
      <c r="GH659" s="133"/>
      <c r="GI659" s="133"/>
      <c r="GJ659" s="133"/>
      <c r="GK659" s="133"/>
      <c r="GL659" s="133"/>
      <c r="GM659" s="133"/>
      <c r="GN659" s="133"/>
      <c r="GO659" s="133"/>
      <c r="GP659" s="133"/>
      <c r="GQ659" s="133"/>
      <c r="GR659" s="133"/>
      <c r="GS659" s="133"/>
      <c r="GT659" s="133"/>
      <c r="GU659" s="133"/>
      <c r="GV659" s="133"/>
      <c r="GW659" s="133"/>
      <c r="GX659" s="133"/>
      <c r="GY659" s="133"/>
      <c r="GZ659" s="133"/>
      <c r="HA659" s="133"/>
      <c r="HB659" s="133"/>
      <c r="HC659" s="133"/>
      <c r="HD659" s="133"/>
      <c r="HE659" s="133"/>
      <c r="HF659" s="133"/>
      <c r="HG659" s="133"/>
      <c r="HH659" s="133"/>
      <c r="HI659" s="133"/>
      <c r="HJ659" s="133"/>
      <c r="HK659" s="133"/>
      <c r="HL659" s="133"/>
      <c r="HM659" s="133"/>
      <c r="HN659" s="133"/>
      <c r="HO659" s="133"/>
      <c r="HP659" s="133"/>
      <c r="HQ659" s="133"/>
      <c r="HR659" s="133"/>
      <c r="HS659" s="133"/>
      <c r="HT659" s="133"/>
      <c r="HU659" s="133"/>
      <c r="HV659" s="133"/>
      <c r="HW659" s="133"/>
      <c r="HX659" s="133"/>
      <c r="HY659" s="133"/>
      <c r="HZ659" s="133"/>
      <c r="IA659" s="133"/>
      <c r="IB659" s="133"/>
      <c r="IC659" s="133"/>
      <c r="ID659" s="133"/>
      <c r="IE659" s="133"/>
      <c r="IF659" s="133"/>
      <c r="IG659" s="133"/>
      <c r="IH659" s="133"/>
      <c r="II659" s="133"/>
      <c r="IJ659" s="133"/>
      <c r="IK659" s="133"/>
      <c r="IL659" s="133"/>
      <c r="IM659" s="133"/>
      <c r="IN659" s="133"/>
      <c r="IO659" s="133"/>
      <c r="IP659" s="133"/>
      <c r="IQ659" s="133"/>
      <c r="IR659" s="133"/>
      <c r="IS659" s="133"/>
      <c r="IT659" s="133"/>
      <c r="IU659" s="133"/>
      <c r="IV659" s="133"/>
    </row>
    <row r="660" spans="1:256" s="132" customFormat="1" ht="13.8">
      <c r="A660" s="133"/>
      <c r="B660" s="133"/>
      <c r="C660" s="133"/>
      <c r="D660" s="133"/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GE660" s="133"/>
      <c r="GF660" s="133"/>
      <c r="GG660" s="133"/>
      <c r="GH660" s="133"/>
      <c r="GI660" s="133"/>
      <c r="GJ660" s="133"/>
      <c r="GK660" s="133"/>
      <c r="GL660" s="133"/>
      <c r="GM660" s="133"/>
      <c r="GN660" s="133"/>
      <c r="GO660" s="133"/>
      <c r="GP660" s="133"/>
      <c r="GQ660" s="133"/>
      <c r="GR660" s="133"/>
      <c r="GS660" s="133"/>
      <c r="GT660" s="133"/>
      <c r="GU660" s="133"/>
      <c r="GV660" s="133"/>
      <c r="GW660" s="133"/>
      <c r="GX660" s="133"/>
      <c r="GY660" s="133"/>
      <c r="GZ660" s="133"/>
      <c r="HA660" s="133"/>
      <c r="HB660" s="133"/>
      <c r="HC660" s="133"/>
      <c r="HD660" s="133"/>
      <c r="HE660" s="133"/>
      <c r="HF660" s="133"/>
      <c r="HG660" s="133"/>
      <c r="HH660" s="133"/>
      <c r="HI660" s="133"/>
      <c r="HJ660" s="133"/>
      <c r="HK660" s="133"/>
      <c r="HL660" s="133"/>
      <c r="HM660" s="133"/>
      <c r="HN660" s="133"/>
      <c r="HO660" s="133"/>
      <c r="HP660" s="133"/>
      <c r="HQ660" s="133"/>
      <c r="HR660" s="133"/>
      <c r="HS660" s="133"/>
      <c r="HT660" s="133"/>
      <c r="HU660" s="133"/>
      <c r="HV660" s="133"/>
      <c r="HW660" s="133"/>
      <c r="HX660" s="133"/>
      <c r="HY660" s="133"/>
      <c r="HZ660" s="133"/>
      <c r="IA660" s="133"/>
      <c r="IB660" s="133"/>
      <c r="IC660" s="133"/>
      <c r="ID660" s="133"/>
      <c r="IE660" s="133"/>
      <c r="IF660" s="133"/>
      <c r="IG660" s="133"/>
      <c r="IH660" s="133"/>
      <c r="II660" s="133"/>
      <c r="IJ660" s="133"/>
      <c r="IK660" s="133"/>
      <c r="IL660" s="133"/>
      <c r="IM660" s="133"/>
      <c r="IN660" s="133"/>
      <c r="IO660" s="133"/>
      <c r="IP660" s="133"/>
      <c r="IQ660" s="133"/>
      <c r="IR660" s="133"/>
      <c r="IS660" s="133"/>
      <c r="IT660" s="133"/>
      <c r="IU660" s="133"/>
      <c r="IV660" s="133"/>
    </row>
    <row r="661" spans="1:256" s="132" customFormat="1" ht="13.8">
      <c r="A661" s="133"/>
      <c r="B661" s="133"/>
      <c r="C661" s="133"/>
      <c r="D661" s="133"/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GE661" s="133"/>
      <c r="GF661" s="133"/>
      <c r="GG661" s="133"/>
      <c r="GH661" s="133"/>
      <c r="GI661" s="133"/>
      <c r="GJ661" s="133"/>
      <c r="GK661" s="133"/>
      <c r="GL661" s="133"/>
      <c r="GM661" s="133"/>
      <c r="GN661" s="133"/>
      <c r="GO661" s="133"/>
      <c r="GP661" s="133"/>
      <c r="GQ661" s="133"/>
      <c r="GR661" s="133"/>
      <c r="GS661" s="133"/>
      <c r="GT661" s="133"/>
      <c r="GU661" s="133"/>
      <c r="GV661" s="133"/>
      <c r="GW661" s="133"/>
      <c r="GX661" s="133"/>
      <c r="GY661" s="133"/>
      <c r="GZ661" s="133"/>
      <c r="HA661" s="133"/>
      <c r="HB661" s="133"/>
      <c r="HC661" s="133"/>
      <c r="HD661" s="133"/>
      <c r="HE661" s="133"/>
      <c r="HF661" s="133"/>
      <c r="HG661" s="133"/>
      <c r="HH661" s="133"/>
      <c r="HI661" s="133"/>
      <c r="HJ661" s="133"/>
      <c r="HK661" s="133"/>
      <c r="HL661" s="133"/>
      <c r="HM661" s="133"/>
      <c r="HN661" s="133"/>
      <c r="HO661" s="133"/>
      <c r="HP661" s="133"/>
      <c r="HQ661" s="133"/>
      <c r="HR661" s="133"/>
      <c r="HS661" s="133"/>
      <c r="HT661" s="133"/>
      <c r="HU661" s="133"/>
      <c r="HV661" s="133"/>
      <c r="HW661" s="133"/>
      <c r="HX661" s="133"/>
      <c r="HY661" s="133"/>
      <c r="HZ661" s="133"/>
      <c r="IA661" s="133"/>
      <c r="IB661" s="133"/>
      <c r="IC661" s="133"/>
      <c r="ID661" s="133"/>
      <c r="IE661" s="133"/>
      <c r="IF661" s="133"/>
      <c r="IG661" s="133"/>
      <c r="IH661" s="133"/>
      <c r="II661" s="133"/>
      <c r="IJ661" s="133"/>
      <c r="IK661" s="133"/>
      <c r="IL661" s="133"/>
      <c r="IM661" s="133"/>
      <c r="IN661" s="133"/>
      <c r="IO661" s="133"/>
      <c r="IP661" s="133"/>
      <c r="IQ661" s="133"/>
      <c r="IR661" s="133"/>
      <c r="IS661" s="133"/>
      <c r="IT661" s="133"/>
      <c r="IU661" s="133"/>
      <c r="IV661" s="133"/>
    </row>
    <row r="662" spans="1:256" s="132" customFormat="1" ht="13.8">
      <c r="A662" s="133"/>
      <c r="B662" s="133"/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GE662" s="133"/>
      <c r="GF662" s="133"/>
      <c r="GG662" s="133"/>
      <c r="GH662" s="133"/>
      <c r="GI662" s="133"/>
      <c r="GJ662" s="133"/>
      <c r="GK662" s="133"/>
      <c r="GL662" s="133"/>
      <c r="GM662" s="133"/>
      <c r="GN662" s="133"/>
      <c r="GO662" s="133"/>
      <c r="GP662" s="133"/>
      <c r="GQ662" s="133"/>
      <c r="GR662" s="133"/>
      <c r="GS662" s="133"/>
      <c r="GT662" s="133"/>
      <c r="GU662" s="133"/>
      <c r="GV662" s="133"/>
      <c r="GW662" s="133"/>
      <c r="GX662" s="133"/>
      <c r="GY662" s="133"/>
      <c r="GZ662" s="133"/>
      <c r="HA662" s="133"/>
      <c r="HB662" s="133"/>
      <c r="HC662" s="133"/>
      <c r="HD662" s="133"/>
      <c r="HE662" s="133"/>
      <c r="HF662" s="133"/>
      <c r="HG662" s="133"/>
      <c r="HH662" s="133"/>
      <c r="HI662" s="133"/>
      <c r="HJ662" s="133"/>
      <c r="HK662" s="133"/>
      <c r="HL662" s="133"/>
      <c r="HM662" s="133"/>
      <c r="HN662" s="133"/>
      <c r="HO662" s="133"/>
      <c r="HP662" s="133"/>
      <c r="HQ662" s="133"/>
      <c r="HR662" s="133"/>
      <c r="HS662" s="133"/>
      <c r="HT662" s="133"/>
      <c r="HU662" s="133"/>
      <c r="HV662" s="133"/>
      <c r="HW662" s="133"/>
      <c r="HX662" s="133"/>
      <c r="HY662" s="133"/>
      <c r="HZ662" s="133"/>
      <c r="IA662" s="133"/>
      <c r="IB662" s="133"/>
      <c r="IC662" s="133"/>
      <c r="ID662" s="133"/>
      <c r="IE662" s="133"/>
      <c r="IF662" s="133"/>
      <c r="IG662" s="133"/>
      <c r="IH662" s="133"/>
      <c r="II662" s="133"/>
      <c r="IJ662" s="133"/>
      <c r="IK662" s="133"/>
      <c r="IL662" s="133"/>
      <c r="IM662" s="133"/>
      <c r="IN662" s="133"/>
      <c r="IO662" s="133"/>
      <c r="IP662" s="133"/>
      <c r="IQ662" s="133"/>
      <c r="IR662" s="133"/>
      <c r="IS662" s="133"/>
      <c r="IT662" s="133"/>
      <c r="IU662" s="133"/>
      <c r="IV662" s="133"/>
    </row>
    <row r="663" spans="1:256" s="132" customFormat="1" ht="13.8">
      <c r="A663" s="133"/>
      <c r="B663" s="133"/>
      <c r="C663" s="133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GE663" s="133"/>
      <c r="GF663" s="133"/>
      <c r="GG663" s="133"/>
      <c r="GH663" s="133"/>
      <c r="GI663" s="133"/>
      <c r="GJ663" s="133"/>
      <c r="GK663" s="133"/>
      <c r="GL663" s="133"/>
      <c r="GM663" s="133"/>
      <c r="GN663" s="133"/>
      <c r="GO663" s="133"/>
      <c r="GP663" s="133"/>
      <c r="GQ663" s="133"/>
      <c r="GR663" s="133"/>
      <c r="GS663" s="133"/>
      <c r="GT663" s="133"/>
      <c r="GU663" s="133"/>
      <c r="GV663" s="133"/>
      <c r="GW663" s="133"/>
      <c r="GX663" s="133"/>
      <c r="GY663" s="133"/>
      <c r="GZ663" s="133"/>
      <c r="HA663" s="133"/>
      <c r="HB663" s="133"/>
      <c r="HC663" s="133"/>
      <c r="HD663" s="133"/>
      <c r="HE663" s="133"/>
      <c r="HF663" s="133"/>
      <c r="HG663" s="133"/>
      <c r="HH663" s="133"/>
      <c r="HI663" s="133"/>
      <c r="HJ663" s="133"/>
      <c r="HK663" s="133"/>
      <c r="HL663" s="133"/>
      <c r="HM663" s="133"/>
      <c r="HN663" s="133"/>
      <c r="HO663" s="133"/>
      <c r="HP663" s="133"/>
      <c r="HQ663" s="133"/>
      <c r="HR663" s="133"/>
      <c r="HS663" s="133"/>
      <c r="HT663" s="133"/>
      <c r="HU663" s="133"/>
      <c r="HV663" s="133"/>
      <c r="HW663" s="133"/>
      <c r="HX663" s="133"/>
      <c r="HY663" s="133"/>
      <c r="HZ663" s="133"/>
      <c r="IA663" s="133"/>
      <c r="IB663" s="133"/>
      <c r="IC663" s="133"/>
      <c r="ID663" s="133"/>
      <c r="IE663" s="133"/>
      <c r="IF663" s="133"/>
      <c r="IG663" s="133"/>
      <c r="IH663" s="133"/>
      <c r="II663" s="133"/>
      <c r="IJ663" s="133"/>
      <c r="IK663" s="133"/>
      <c r="IL663" s="133"/>
      <c r="IM663" s="133"/>
      <c r="IN663" s="133"/>
      <c r="IO663" s="133"/>
      <c r="IP663" s="133"/>
      <c r="IQ663" s="133"/>
      <c r="IR663" s="133"/>
      <c r="IS663" s="133"/>
      <c r="IT663" s="133"/>
      <c r="IU663" s="133"/>
      <c r="IV663" s="133"/>
    </row>
    <row r="664" spans="1:256" s="132" customFormat="1" ht="13.8">
      <c r="A664" s="133"/>
      <c r="B664" s="133"/>
      <c r="C664" s="133"/>
      <c r="D664" s="133"/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GE664" s="133"/>
      <c r="GF664" s="133"/>
      <c r="GG664" s="133"/>
      <c r="GH664" s="133"/>
      <c r="GI664" s="133"/>
      <c r="GJ664" s="133"/>
      <c r="GK664" s="133"/>
      <c r="GL664" s="133"/>
      <c r="GM664" s="133"/>
      <c r="GN664" s="133"/>
      <c r="GO664" s="133"/>
      <c r="GP664" s="133"/>
      <c r="GQ664" s="133"/>
      <c r="GR664" s="133"/>
      <c r="GS664" s="133"/>
      <c r="GT664" s="133"/>
      <c r="GU664" s="133"/>
      <c r="GV664" s="133"/>
      <c r="GW664" s="133"/>
      <c r="GX664" s="133"/>
      <c r="GY664" s="133"/>
      <c r="GZ664" s="133"/>
      <c r="HA664" s="133"/>
      <c r="HB664" s="133"/>
      <c r="HC664" s="133"/>
      <c r="HD664" s="133"/>
      <c r="HE664" s="133"/>
      <c r="HF664" s="133"/>
      <c r="HG664" s="133"/>
      <c r="HH664" s="133"/>
      <c r="HI664" s="133"/>
      <c r="HJ664" s="133"/>
      <c r="HK664" s="133"/>
      <c r="HL664" s="133"/>
      <c r="HM664" s="133"/>
      <c r="HN664" s="133"/>
      <c r="HO664" s="133"/>
      <c r="HP664" s="133"/>
      <c r="HQ664" s="133"/>
      <c r="HR664" s="133"/>
      <c r="HS664" s="133"/>
      <c r="HT664" s="133"/>
      <c r="HU664" s="133"/>
      <c r="HV664" s="133"/>
      <c r="HW664" s="133"/>
      <c r="HX664" s="133"/>
      <c r="HY664" s="133"/>
      <c r="HZ664" s="133"/>
      <c r="IA664" s="133"/>
      <c r="IB664" s="133"/>
      <c r="IC664" s="133"/>
      <c r="ID664" s="133"/>
      <c r="IE664" s="133"/>
      <c r="IF664" s="133"/>
      <c r="IG664" s="133"/>
      <c r="IH664" s="133"/>
      <c r="II664" s="133"/>
      <c r="IJ664" s="133"/>
      <c r="IK664" s="133"/>
      <c r="IL664" s="133"/>
      <c r="IM664" s="133"/>
      <c r="IN664" s="133"/>
      <c r="IO664" s="133"/>
      <c r="IP664" s="133"/>
      <c r="IQ664" s="133"/>
      <c r="IR664" s="133"/>
      <c r="IS664" s="133"/>
      <c r="IT664" s="133"/>
      <c r="IU664" s="133"/>
      <c r="IV664" s="133"/>
    </row>
    <row r="665" spans="1:256" s="132" customFormat="1" ht="13.8">
      <c r="A665" s="133"/>
      <c r="B665" s="133"/>
      <c r="C665" s="133"/>
      <c r="D665" s="133"/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GE665" s="133"/>
      <c r="GF665" s="133"/>
      <c r="GG665" s="133"/>
      <c r="GH665" s="133"/>
      <c r="GI665" s="133"/>
      <c r="GJ665" s="133"/>
      <c r="GK665" s="133"/>
      <c r="GL665" s="133"/>
      <c r="GM665" s="133"/>
      <c r="GN665" s="133"/>
      <c r="GO665" s="133"/>
      <c r="GP665" s="133"/>
      <c r="GQ665" s="133"/>
      <c r="GR665" s="133"/>
      <c r="GS665" s="133"/>
      <c r="GT665" s="133"/>
      <c r="GU665" s="133"/>
      <c r="GV665" s="133"/>
      <c r="GW665" s="133"/>
      <c r="GX665" s="133"/>
      <c r="GY665" s="133"/>
      <c r="GZ665" s="133"/>
      <c r="HA665" s="133"/>
      <c r="HB665" s="133"/>
      <c r="HC665" s="133"/>
      <c r="HD665" s="133"/>
      <c r="HE665" s="133"/>
      <c r="HF665" s="133"/>
      <c r="HG665" s="133"/>
      <c r="HH665" s="133"/>
      <c r="HI665" s="133"/>
      <c r="HJ665" s="133"/>
      <c r="HK665" s="133"/>
      <c r="HL665" s="133"/>
      <c r="HM665" s="133"/>
      <c r="HN665" s="133"/>
      <c r="HO665" s="133"/>
      <c r="HP665" s="133"/>
      <c r="HQ665" s="133"/>
      <c r="HR665" s="133"/>
      <c r="HS665" s="133"/>
      <c r="HT665" s="133"/>
      <c r="HU665" s="133"/>
      <c r="HV665" s="133"/>
      <c r="HW665" s="133"/>
      <c r="HX665" s="133"/>
      <c r="HY665" s="133"/>
      <c r="HZ665" s="133"/>
      <c r="IA665" s="133"/>
      <c r="IB665" s="133"/>
      <c r="IC665" s="133"/>
      <c r="ID665" s="133"/>
      <c r="IE665" s="133"/>
      <c r="IF665" s="133"/>
      <c r="IG665" s="133"/>
      <c r="IH665" s="133"/>
      <c r="II665" s="133"/>
      <c r="IJ665" s="133"/>
      <c r="IK665" s="133"/>
      <c r="IL665" s="133"/>
      <c r="IM665" s="133"/>
      <c r="IN665" s="133"/>
      <c r="IO665" s="133"/>
      <c r="IP665" s="133"/>
      <c r="IQ665" s="133"/>
      <c r="IR665" s="133"/>
      <c r="IS665" s="133"/>
      <c r="IT665" s="133"/>
      <c r="IU665" s="133"/>
      <c r="IV665" s="133"/>
    </row>
    <row r="666" spans="1:256" s="132" customFormat="1" ht="13.8">
      <c r="A666" s="133"/>
      <c r="B666" s="133"/>
      <c r="C666" s="133"/>
      <c r="D666" s="133"/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GE666" s="133"/>
      <c r="GF666" s="133"/>
      <c r="GG666" s="133"/>
      <c r="GH666" s="133"/>
      <c r="GI666" s="133"/>
      <c r="GJ666" s="133"/>
      <c r="GK666" s="133"/>
      <c r="GL666" s="133"/>
      <c r="GM666" s="133"/>
      <c r="GN666" s="133"/>
      <c r="GO666" s="133"/>
      <c r="GP666" s="133"/>
      <c r="GQ666" s="133"/>
      <c r="GR666" s="133"/>
      <c r="GS666" s="133"/>
      <c r="GT666" s="133"/>
      <c r="GU666" s="133"/>
      <c r="GV666" s="133"/>
      <c r="GW666" s="133"/>
      <c r="GX666" s="133"/>
      <c r="GY666" s="133"/>
      <c r="GZ666" s="133"/>
      <c r="HA666" s="133"/>
      <c r="HB666" s="133"/>
      <c r="HC666" s="133"/>
      <c r="HD666" s="133"/>
      <c r="HE666" s="133"/>
      <c r="HF666" s="133"/>
      <c r="HG666" s="133"/>
      <c r="HH666" s="133"/>
      <c r="HI666" s="133"/>
      <c r="HJ666" s="133"/>
      <c r="HK666" s="133"/>
      <c r="HL666" s="133"/>
      <c r="HM666" s="133"/>
      <c r="HN666" s="133"/>
      <c r="HO666" s="133"/>
      <c r="HP666" s="133"/>
      <c r="HQ666" s="133"/>
      <c r="HR666" s="133"/>
      <c r="HS666" s="133"/>
      <c r="HT666" s="133"/>
      <c r="HU666" s="133"/>
      <c r="HV666" s="133"/>
      <c r="HW666" s="133"/>
      <c r="HX666" s="133"/>
      <c r="HY666" s="133"/>
      <c r="HZ666" s="133"/>
      <c r="IA666" s="133"/>
      <c r="IB666" s="133"/>
      <c r="IC666" s="133"/>
      <c r="ID666" s="133"/>
      <c r="IE666" s="133"/>
      <c r="IF666" s="133"/>
      <c r="IG666" s="133"/>
      <c r="IH666" s="133"/>
      <c r="II666" s="133"/>
      <c r="IJ666" s="133"/>
      <c r="IK666" s="133"/>
      <c r="IL666" s="133"/>
      <c r="IM666" s="133"/>
      <c r="IN666" s="133"/>
      <c r="IO666" s="133"/>
      <c r="IP666" s="133"/>
      <c r="IQ666" s="133"/>
      <c r="IR666" s="133"/>
      <c r="IS666" s="133"/>
      <c r="IT666" s="133"/>
      <c r="IU666" s="133"/>
      <c r="IV666" s="133"/>
    </row>
    <row r="667" spans="1:256" s="132" customFormat="1" ht="13.8">
      <c r="A667" s="133"/>
      <c r="B667" s="133"/>
      <c r="C667" s="133"/>
      <c r="D667" s="133"/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GE667" s="133"/>
      <c r="GF667" s="133"/>
      <c r="GG667" s="133"/>
      <c r="GH667" s="133"/>
      <c r="GI667" s="133"/>
      <c r="GJ667" s="133"/>
      <c r="GK667" s="133"/>
      <c r="GL667" s="133"/>
      <c r="GM667" s="133"/>
      <c r="GN667" s="133"/>
      <c r="GO667" s="133"/>
      <c r="GP667" s="133"/>
      <c r="GQ667" s="133"/>
      <c r="GR667" s="133"/>
      <c r="GS667" s="133"/>
      <c r="GT667" s="133"/>
      <c r="GU667" s="133"/>
      <c r="GV667" s="133"/>
      <c r="GW667" s="133"/>
      <c r="GX667" s="133"/>
      <c r="GY667" s="133"/>
      <c r="GZ667" s="133"/>
      <c r="HA667" s="133"/>
      <c r="HB667" s="133"/>
      <c r="HC667" s="133"/>
      <c r="HD667" s="133"/>
      <c r="HE667" s="133"/>
      <c r="HF667" s="133"/>
      <c r="HG667" s="133"/>
      <c r="HH667" s="133"/>
      <c r="HI667" s="133"/>
      <c r="HJ667" s="133"/>
      <c r="HK667" s="133"/>
      <c r="HL667" s="133"/>
      <c r="HM667" s="133"/>
      <c r="HN667" s="133"/>
      <c r="HO667" s="133"/>
      <c r="HP667" s="133"/>
      <c r="HQ667" s="133"/>
      <c r="HR667" s="133"/>
      <c r="HS667" s="133"/>
      <c r="HT667" s="133"/>
      <c r="HU667" s="133"/>
      <c r="HV667" s="133"/>
      <c r="HW667" s="133"/>
      <c r="HX667" s="133"/>
      <c r="HY667" s="133"/>
      <c r="HZ667" s="133"/>
      <c r="IA667" s="133"/>
      <c r="IB667" s="133"/>
      <c r="IC667" s="133"/>
      <c r="ID667" s="133"/>
      <c r="IE667" s="133"/>
      <c r="IF667" s="133"/>
      <c r="IG667" s="133"/>
      <c r="IH667" s="133"/>
      <c r="II667" s="133"/>
      <c r="IJ667" s="133"/>
      <c r="IK667" s="133"/>
      <c r="IL667" s="133"/>
      <c r="IM667" s="133"/>
      <c r="IN667" s="133"/>
      <c r="IO667" s="133"/>
      <c r="IP667" s="133"/>
      <c r="IQ667" s="133"/>
      <c r="IR667" s="133"/>
      <c r="IS667" s="133"/>
      <c r="IT667" s="133"/>
      <c r="IU667" s="133"/>
      <c r="IV667" s="133"/>
    </row>
    <row r="668" spans="1:256" s="132" customFormat="1" ht="13.8">
      <c r="A668" s="133"/>
      <c r="B668" s="133"/>
      <c r="C668" s="133"/>
      <c r="D668" s="133"/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GE668" s="133"/>
      <c r="GF668" s="133"/>
      <c r="GG668" s="133"/>
      <c r="GH668" s="133"/>
      <c r="GI668" s="133"/>
      <c r="GJ668" s="133"/>
      <c r="GK668" s="133"/>
      <c r="GL668" s="133"/>
      <c r="GM668" s="133"/>
      <c r="GN668" s="133"/>
      <c r="GO668" s="133"/>
      <c r="GP668" s="133"/>
      <c r="GQ668" s="133"/>
      <c r="GR668" s="133"/>
      <c r="GS668" s="133"/>
      <c r="GT668" s="133"/>
      <c r="GU668" s="133"/>
      <c r="GV668" s="133"/>
      <c r="GW668" s="133"/>
      <c r="GX668" s="133"/>
      <c r="GY668" s="133"/>
      <c r="GZ668" s="133"/>
      <c r="HA668" s="133"/>
      <c r="HB668" s="133"/>
      <c r="HC668" s="133"/>
      <c r="HD668" s="133"/>
      <c r="HE668" s="133"/>
      <c r="HF668" s="133"/>
      <c r="HG668" s="133"/>
      <c r="HH668" s="133"/>
      <c r="HI668" s="133"/>
      <c r="HJ668" s="133"/>
      <c r="HK668" s="133"/>
      <c r="HL668" s="133"/>
      <c r="HM668" s="133"/>
      <c r="HN668" s="133"/>
      <c r="HO668" s="133"/>
      <c r="HP668" s="133"/>
      <c r="HQ668" s="133"/>
      <c r="HR668" s="133"/>
      <c r="HS668" s="133"/>
      <c r="HT668" s="133"/>
      <c r="HU668" s="133"/>
      <c r="HV668" s="133"/>
      <c r="HW668" s="133"/>
      <c r="HX668" s="133"/>
      <c r="HY668" s="133"/>
      <c r="HZ668" s="133"/>
      <c r="IA668" s="133"/>
      <c r="IB668" s="133"/>
      <c r="IC668" s="133"/>
      <c r="ID668" s="133"/>
      <c r="IE668" s="133"/>
      <c r="IF668" s="133"/>
      <c r="IG668" s="133"/>
      <c r="IH668" s="133"/>
      <c r="II668" s="133"/>
      <c r="IJ668" s="133"/>
      <c r="IK668" s="133"/>
      <c r="IL668" s="133"/>
      <c r="IM668" s="133"/>
      <c r="IN668" s="133"/>
      <c r="IO668" s="133"/>
      <c r="IP668" s="133"/>
      <c r="IQ668" s="133"/>
      <c r="IR668" s="133"/>
      <c r="IS668" s="133"/>
      <c r="IT668" s="133"/>
      <c r="IU668" s="133"/>
      <c r="IV668" s="133"/>
    </row>
    <row r="669" spans="1:256" s="132" customFormat="1" ht="13.8">
      <c r="A669" s="133"/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GE669" s="133"/>
      <c r="GF669" s="133"/>
      <c r="GG669" s="133"/>
      <c r="GH669" s="133"/>
      <c r="GI669" s="133"/>
      <c r="GJ669" s="133"/>
      <c r="GK669" s="133"/>
      <c r="GL669" s="133"/>
      <c r="GM669" s="133"/>
      <c r="GN669" s="133"/>
      <c r="GO669" s="133"/>
      <c r="GP669" s="133"/>
      <c r="GQ669" s="133"/>
      <c r="GR669" s="133"/>
      <c r="GS669" s="133"/>
      <c r="GT669" s="133"/>
      <c r="GU669" s="133"/>
      <c r="GV669" s="133"/>
      <c r="GW669" s="133"/>
      <c r="GX669" s="133"/>
      <c r="GY669" s="133"/>
      <c r="GZ669" s="133"/>
      <c r="HA669" s="133"/>
      <c r="HB669" s="133"/>
      <c r="HC669" s="133"/>
      <c r="HD669" s="133"/>
      <c r="HE669" s="133"/>
      <c r="HF669" s="133"/>
      <c r="HG669" s="133"/>
      <c r="HH669" s="133"/>
      <c r="HI669" s="133"/>
      <c r="HJ669" s="133"/>
      <c r="HK669" s="133"/>
      <c r="HL669" s="133"/>
      <c r="HM669" s="133"/>
      <c r="HN669" s="133"/>
      <c r="HO669" s="133"/>
      <c r="HP669" s="133"/>
      <c r="HQ669" s="133"/>
      <c r="HR669" s="133"/>
      <c r="HS669" s="133"/>
      <c r="HT669" s="133"/>
      <c r="HU669" s="133"/>
      <c r="HV669" s="133"/>
      <c r="HW669" s="133"/>
      <c r="HX669" s="133"/>
      <c r="HY669" s="133"/>
      <c r="HZ669" s="133"/>
      <c r="IA669" s="133"/>
      <c r="IB669" s="133"/>
      <c r="IC669" s="133"/>
      <c r="ID669" s="133"/>
      <c r="IE669" s="133"/>
      <c r="IF669" s="133"/>
      <c r="IG669" s="133"/>
      <c r="IH669" s="133"/>
      <c r="II669" s="133"/>
      <c r="IJ669" s="133"/>
      <c r="IK669" s="133"/>
      <c r="IL669" s="133"/>
      <c r="IM669" s="133"/>
      <c r="IN669" s="133"/>
      <c r="IO669" s="133"/>
      <c r="IP669" s="133"/>
      <c r="IQ669" s="133"/>
      <c r="IR669" s="133"/>
      <c r="IS669" s="133"/>
      <c r="IT669" s="133"/>
      <c r="IU669" s="133"/>
      <c r="IV669" s="133"/>
    </row>
    <row r="670" spans="1:256" s="132" customFormat="1" ht="13.8">
      <c r="A670" s="133"/>
      <c r="B670" s="133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GE670" s="133"/>
      <c r="GF670" s="133"/>
      <c r="GG670" s="133"/>
      <c r="GH670" s="133"/>
      <c r="GI670" s="133"/>
      <c r="GJ670" s="133"/>
      <c r="GK670" s="133"/>
      <c r="GL670" s="133"/>
      <c r="GM670" s="133"/>
      <c r="GN670" s="133"/>
      <c r="GO670" s="133"/>
      <c r="GP670" s="133"/>
      <c r="GQ670" s="133"/>
      <c r="GR670" s="133"/>
      <c r="GS670" s="133"/>
      <c r="GT670" s="133"/>
      <c r="GU670" s="133"/>
      <c r="GV670" s="133"/>
      <c r="GW670" s="133"/>
      <c r="GX670" s="133"/>
      <c r="GY670" s="133"/>
      <c r="GZ670" s="133"/>
      <c r="HA670" s="133"/>
      <c r="HB670" s="133"/>
      <c r="HC670" s="133"/>
      <c r="HD670" s="133"/>
      <c r="HE670" s="133"/>
      <c r="HF670" s="133"/>
      <c r="HG670" s="133"/>
      <c r="HH670" s="133"/>
      <c r="HI670" s="133"/>
      <c r="HJ670" s="133"/>
      <c r="HK670" s="133"/>
      <c r="HL670" s="133"/>
      <c r="HM670" s="133"/>
      <c r="HN670" s="133"/>
      <c r="HO670" s="133"/>
      <c r="HP670" s="133"/>
      <c r="HQ670" s="133"/>
      <c r="HR670" s="133"/>
      <c r="HS670" s="133"/>
      <c r="HT670" s="133"/>
      <c r="HU670" s="133"/>
      <c r="HV670" s="133"/>
      <c r="HW670" s="133"/>
      <c r="HX670" s="133"/>
      <c r="HY670" s="133"/>
      <c r="HZ670" s="133"/>
      <c r="IA670" s="133"/>
      <c r="IB670" s="133"/>
      <c r="IC670" s="133"/>
      <c r="ID670" s="133"/>
      <c r="IE670" s="133"/>
      <c r="IF670" s="133"/>
      <c r="IG670" s="133"/>
      <c r="IH670" s="133"/>
      <c r="II670" s="133"/>
      <c r="IJ670" s="133"/>
      <c r="IK670" s="133"/>
      <c r="IL670" s="133"/>
      <c r="IM670" s="133"/>
      <c r="IN670" s="133"/>
      <c r="IO670" s="133"/>
      <c r="IP670" s="133"/>
      <c r="IQ670" s="133"/>
      <c r="IR670" s="133"/>
      <c r="IS670" s="133"/>
      <c r="IT670" s="133"/>
      <c r="IU670" s="133"/>
      <c r="IV670" s="133"/>
    </row>
    <row r="671" spans="1:256" s="132" customFormat="1" ht="13.8">
      <c r="A671" s="133"/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GE671" s="133"/>
      <c r="GF671" s="133"/>
      <c r="GG671" s="133"/>
      <c r="GH671" s="133"/>
      <c r="GI671" s="133"/>
      <c r="GJ671" s="133"/>
      <c r="GK671" s="133"/>
      <c r="GL671" s="133"/>
      <c r="GM671" s="133"/>
      <c r="GN671" s="133"/>
      <c r="GO671" s="133"/>
      <c r="GP671" s="133"/>
      <c r="GQ671" s="133"/>
      <c r="GR671" s="133"/>
      <c r="GS671" s="133"/>
      <c r="GT671" s="133"/>
      <c r="GU671" s="133"/>
      <c r="GV671" s="133"/>
      <c r="GW671" s="133"/>
      <c r="GX671" s="133"/>
      <c r="GY671" s="133"/>
      <c r="GZ671" s="133"/>
      <c r="HA671" s="133"/>
      <c r="HB671" s="133"/>
      <c r="HC671" s="133"/>
      <c r="HD671" s="133"/>
      <c r="HE671" s="133"/>
      <c r="HF671" s="133"/>
      <c r="HG671" s="133"/>
      <c r="HH671" s="133"/>
      <c r="HI671" s="133"/>
      <c r="HJ671" s="133"/>
      <c r="HK671" s="133"/>
      <c r="HL671" s="133"/>
      <c r="HM671" s="133"/>
      <c r="HN671" s="133"/>
      <c r="HO671" s="133"/>
      <c r="HP671" s="133"/>
      <c r="HQ671" s="133"/>
      <c r="HR671" s="133"/>
      <c r="HS671" s="133"/>
      <c r="HT671" s="133"/>
      <c r="HU671" s="133"/>
      <c r="HV671" s="133"/>
      <c r="HW671" s="133"/>
      <c r="HX671" s="133"/>
      <c r="HY671" s="133"/>
      <c r="HZ671" s="133"/>
      <c r="IA671" s="133"/>
      <c r="IB671" s="133"/>
      <c r="IC671" s="133"/>
      <c r="ID671" s="133"/>
      <c r="IE671" s="133"/>
      <c r="IF671" s="133"/>
      <c r="IG671" s="133"/>
      <c r="IH671" s="133"/>
      <c r="II671" s="133"/>
      <c r="IJ671" s="133"/>
      <c r="IK671" s="133"/>
      <c r="IL671" s="133"/>
      <c r="IM671" s="133"/>
      <c r="IN671" s="133"/>
      <c r="IO671" s="133"/>
      <c r="IP671" s="133"/>
      <c r="IQ671" s="133"/>
      <c r="IR671" s="133"/>
      <c r="IS671" s="133"/>
      <c r="IT671" s="133"/>
      <c r="IU671" s="133"/>
      <c r="IV671" s="133"/>
    </row>
    <row r="672" spans="1:256" s="132" customFormat="1" ht="13.8">
      <c r="A672" s="133"/>
      <c r="B672" s="133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GE672" s="133"/>
      <c r="GF672" s="133"/>
      <c r="GG672" s="133"/>
      <c r="GH672" s="133"/>
      <c r="GI672" s="133"/>
      <c r="GJ672" s="133"/>
      <c r="GK672" s="133"/>
      <c r="GL672" s="133"/>
      <c r="GM672" s="133"/>
      <c r="GN672" s="133"/>
      <c r="GO672" s="133"/>
      <c r="GP672" s="133"/>
      <c r="GQ672" s="133"/>
      <c r="GR672" s="133"/>
      <c r="GS672" s="133"/>
      <c r="GT672" s="133"/>
      <c r="GU672" s="133"/>
      <c r="GV672" s="133"/>
      <c r="GW672" s="133"/>
      <c r="GX672" s="133"/>
      <c r="GY672" s="133"/>
      <c r="GZ672" s="133"/>
      <c r="HA672" s="133"/>
      <c r="HB672" s="133"/>
      <c r="HC672" s="133"/>
      <c r="HD672" s="133"/>
      <c r="HE672" s="133"/>
      <c r="HF672" s="133"/>
      <c r="HG672" s="133"/>
      <c r="HH672" s="133"/>
      <c r="HI672" s="133"/>
      <c r="HJ672" s="133"/>
      <c r="HK672" s="133"/>
      <c r="HL672" s="133"/>
      <c r="HM672" s="133"/>
      <c r="HN672" s="133"/>
      <c r="HO672" s="133"/>
      <c r="HP672" s="133"/>
      <c r="HQ672" s="133"/>
      <c r="HR672" s="133"/>
      <c r="HS672" s="133"/>
      <c r="HT672" s="133"/>
      <c r="HU672" s="133"/>
      <c r="HV672" s="133"/>
      <c r="HW672" s="133"/>
      <c r="HX672" s="133"/>
      <c r="HY672" s="133"/>
      <c r="HZ672" s="133"/>
      <c r="IA672" s="133"/>
      <c r="IB672" s="133"/>
      <c r="IC672" s="133"/>
      <c r="ID672" s="133"/>
      <c r="IE672" s="133"/>
      <c r="IF672" s="133"/>
      <c r="IG672" s="133"/>
      <c r="IH672" s="133"/>
      <c r="II672" s="133"/>
      <c r="IJ672" s="133"/>
      <c r="IK672" s="133"/>
      <c r="IL672" s="133"/>
      <c r="IM672" s="133"/>
      <c r="IN672" s="133"/>
      <c r="IO672" s="133"/>
      <c r="IP672" s="133"/>
      <c r="IQ672" s="133"/>
      <c r="IR672" s="133"/>
      <c r="IS672" s="133"/>
      <c r="IT672" s="133"/>
      <c r="IU672" s="133"/>
      <c r="IV672" s="133"/>
    </row>
    <row r="673" spans="1:256" s="132" customFormat="1" ht="13.8">
      <c r="A673" s="133"/>
      <c r="B673" s="133"/>
      <c r="C673" s="133"/>
      <c r="D673" s="133"/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GE673" s="133"/>
      <c r="GF673" s="133"/>
      <c r="GG673" s="133"/>
      <c r="GH673" s="133"/>
      <c r="GI673" s="133"/>
      <c r="GJ673" s="133"/>
      <c r="GK673" s="133"/>
      <c r="GL673" s="133"/>
      <c r="GM673" s="133"/>
      <c r="GN673" s="133"/>
      <c r="GO673" s="133"/>
      <c r="GP673" s="133"/>
      <c r="GQ673" s="133"/>
      <c r="GR673" s="133"/>
      <c r="GS673" s="133"/>
      <c r="GT673" s="133"/>
      <c r="GU673" s="133"/>
      <c r="GV673" s="133"/>
      <c r="GW673" s="133"/>
      <c r="GX673" s="133"/>
      <c r="GY673" s="133"/>
      <c r="GZ673" s="133"/>
      <c r="HA673" s="133"/>
      <c r="HB673" s="133"/>
      <c r="HC673" s="133"/>
      <c r="HD673" s="133"/>
      <c r="HE673" s="133"/>
      <c r="HF673" s="133"/>
      <c r="HG673" s="133"/>
      <c r="HH673" s="133"/>
      <c r="HI673" s="133"/>
      <c r="HJ673" s="133"/>
      <c r="HK673" s="133"/>
      <c r="HL673" s="133"/>
      <c r="HM673" s="133"/>
      <c r="HN673" s="133"/>
      <c r="HO673" s="133"/>
      <c r="HP673" s="133"/>
      <c r="HQ673" s="133"/>
      <c r="HR673" s="133"/>
      <c r="HS673" s="133"/>
      <c r="HT673" s="133"/>
      <c r="HU673" s="133"/>
      <c r="HV673" s="133"/>
      <c r="HW673" s="133"/>
      <c r="HX673" s="133"/>
      <c r="HY673" s="133"/>
      <c r="HZ673" s="133"/>
      <c r="IA673" s="133"/>
      <c r="IB673" s="133"/>
      <c r="IC673" s="133"/>
      <c r="ID673" s="133"/>
      <c r="IE673" s="133"/>
      <c r="IF673" s="133"/>
      <c r="IG673" s="133"/>
      <c r="IH673" s="133"/>
      <c r="II673" s="133"/>
      <c r="IJ673" s="133"/>
      <c r="IK673" s="133"/>
      <c r="IL673" s="133"/>
      <c r="IM673" s="133"/>
      <c r="IN673" s="133"/>
      <c r="IO673" s="133"/>
      <c r="IP673" s="133"/>
      <c r="IQ673" s="133"/>
      <c r="IR673" s="133"/>
      <c r="IS673" s="133"/>
      <c r="IT673" s="133"/>
      <c r="IU673" s="133"/>
      <c r="IV673" s="133"/>
    </row>
    <row r="674" spans="1:256" s="132" customFormat="1" ht="13.8">
      <c r="A674" s="133"/>
      <c r="B674" s="133"/>
      <c r="C674" s="133"/>
      <c r="D674" s="133"/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GE674" s="133"/>
      <c r="GF674" s="133"/>
      <c r="GG674" s="133"/>
      <c r="GH674" s="133"/>
      <c r="GI674" s="133"/>
      <c r="GJ674" s="133"/>
      <c r="GK674" s="133"/>
      <c r="GL674" s="133"/>
      <c r="GM674" s="133"/>
      <c r="GN674" s="133"/>
      <c r="GO674" s="133"/>
      <c r="GP674" s="133"/>
      <c r="GQ674" s="133"/>
      <c r="GR674" s="133"/>
      <c r="GS674" s="133"/>
      <c r="GT674" s="133"/>
      <c r="GU674" s="133"/>
      <c r="GV674" s="133"/>
      <c r="GW674" s="133"/>
      <c r="GX674" s="133"/>
      <c r="GY674" s="133"/>
      <c r="GZ674" s="133"/>
      <c r="HA674" s="133"/>
      <c r="HB674" s="133"/>
      <c r="HC674" s="133"/>
      <c r="HD674" s="133"/>
      <c r="HE674" s="133"/>
      <c r="HF674" s="133"/>
      <c r="HG674" s="133"/>
      <c r="HH674" s="133"/>
      <c r="HI674" s="133"/>
      <c r="HJ674" s="133"/>
      <c r="HK674" s="133"/>
      <c r="HL674" s="133"/>
      <c r="HM674" s="133"/>
      <c r="HN674" s="133"/>
      <c r="HO674" s="133"/>
      <c r="HP674" s="133"/>
      <c r="HQ674" s="133"/>
      <c r="HR674" s="133"/>
      <c r="HS674" s="133"/>
      <c r="HT674" s="133"/>
      <c r="HU674" s="133"/>
      <c r="HV674" s="133"/>
      <c r="HW674" s="133"/>
      <c r="HX674" s="133"/>
      <c r="HY674" s="133"/>
      <c r="HZ674" s="133"/>
      <c r="IA674" s="133"/>
      <c r="IB674" s="133"/>
      <c r="IC674" s="133"/>
      <c r="ID674" s="133"/>
      <c r="IE674" s="133"/>
      <c r="IF674" s="133"/>
      <c r="IG674" s="133"/>
      <c r="IH674" s="133"/>
      <c r="II674" s="133"/>
      <c r="IJ674" s="133"/>
      <c r="IK674" s="133"/>
      <c r="IL674" s="133"/>
      <c r="IM674" s="133"/>
      <c r="IN674" s="133"/>
      <c r="IO674" s="133"/>
      <c r="IP674" s="133"/>
      <c r="IQ674" s="133"/>
      <c r="IR674" s="133"/>
      <c r="IS674" s="133"/>
      <c r="IT674" s="133"/>
      <c r="IU674" s="133"/>
      <c r="IV674" s="133"/>
    </row>
    <row r="675" spans="1:256" s="132" customFormat="1" ht="13.8">
      <c r="A675" s="133"/>
      <c r="B675" s="133"/>
      <c r="C675" s="133"/>
      <c r="D675" s="133"/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GE675" s="133"/>
      <c r="GF675" s="133"/>
      <c r="GG675" s="133"/>
      <c r="GH675" s="133"/>
      <c r="GI675" s="133"/>
      <c r="GJ675" s="133"/>
      <c r="GK675" s="133"/>
      <c r="GL675" s="133"/>
      <c r="GM675" s="133"/>
      <c r="GN675" s="133"/>
      <c r="GO675" s="133"/>
      <c r="GP675" s="133"/>
      <c r="GQ675" s="133"/>
      <c r="GR675" s="133"/>
      <c r="GS675" s="133"/>
      <c r="GT675" s="133"/>
      <c r="GU675" s="133"/>
      <c r="GV675" s="133"/>
      <c r="GW675" s="133"/>
      <c r="GX675" s="133"/>
      <c r="GY675" s="133"/>
      <c r="GZ675" s="133"/>
      <c r="HA675" s="133"/>
      <c r="HB675" s="133"/>
      <c r="HC675" s="133"/>
      <c r="HD675" s="133"/>
      <c r="HE675" s="133"/>
      <c r="HF675" s="133"/>
      <c r="HG675" s="133"/>
      <c r="HH675" s="133"/>
      <c r="HI675" s="133"/>
      <c r="HJ675" s="133"/>
      <c r="HK675" s="133"/>
      <c r="HL675" s="133"/>
      <c r="HM675" s="133"/>
      <c r="HN675" s="133"/>
      <c r="HO675" s="133"/>
      <c r="HP675" s="133"/>
      <c r="HQ675" s="133"/>
      <c r="HR675" s="133"/>
      <c r="HS675" s="133"/>
      <c r="HT675" s="133"/>
      <c r="HU675" s="133"/>
      <c r="HV675" s="133"/>
      <c r="HW675" s="133"/>
      <c r="HX675" s="133"/>
      <c r="HY675" s="133"/>
      <c r="HZ675" s="133"/>
      <c r="IA675" s="133"/>
      <c r="IB675" s="133"/>
      <c r="IC675" s="133"/>
      <c r="ID675" s="133"/>
      <c r="IE675" s="133"/>
      <c r="IF675" s="133"/>
      <c r="IG675" s="133"/>
      <c r="IH675" s="133"/>
      <c r="II675" s="133"/>
      <c r="IJ675" s="133"/>
      <c r="IK675" s="133"/>
      <c r="IL675" s="133"/>
      <c r="IM675" s="133"/>
      <c r="IN675" s="133"/>
      <c r="IO675" s="133"/>
      <c r="IP675" s="133"/>
      <c r="IQ675" s="133"/>
      <c r="IR675" s="133"/>
      <c r="IS675" s="133"/>
      <c r="IT675" s="133"/>
      <c r="IU675" s="133"/>
      <c r="IV675" s="133"/>
    </row>
    <row r="676" spans="1:256" s="132" customFormat="1" ht="13.8">
      <c r="A676" s="133"/>
      <c r="B676" s="133"/>
      <c r="C676" s="133"/>
      <c r="D676" s="133"/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GE676" s="133"/>
      <c r="GF676" s="133"/>
      <c r="GG676" s="133"/>
      <c r="GH676" s="133"/>
      <c r="GI676" s="133"/>
      <c r="GJ676" s="133"/>
      <c r="GK676" s="133"/>
      <c r="GL676" s="133"/>
      <c r="GM676" s="133"/>
      <c r="GN676" s="133"/>
      <c r="GO676" s="133"/>
      <c r="GP676" s="133"/>
      <c r="GQ676" s="133"/>
      <c r="GR676" s="133"/>
      <c r="GS676" s="133"/>
      <c r="GT676" s="133"/>
      <c r="GU676" s="133"/>
      <c r="GV676" s="133"/>
      <c r="GW676" s="133"/>
      <c r="GX676" s="133"/>
      <c r="GY676" s="133"/>
      <c r="GZ676" s="133"/>
      <c r="HA676" s="133"/>
      <c r="HB676" s="133"/>
      <c r="HC676" s="133"/>
      <c r="HD676" s="133"/>
      <c r="HE676" s="133"/>
      <c r="HF676" s="133"/>
      <c r="HG676" s="133"/>
      <c r="HH676" s="133"/>
      <c r="HI676" s="133"/>
      <c r="HJ676" s="133"/>
      <c r="HK676" s="133"/>
      <c r="HL676" s="133"/>
      <c r="HM676" s="133"/>
      <c r="HN676" s="133"/>
      <c r="HO676" s="133"/>
      <c r="HP676" s="133"/>
      <c r="HQ676" s="133"/>
      <c r="HR676" s="133"/>
      <c r="HS676" s="133"/>
      <c r="HT676" s="133"/>
      <c r="HU676" s="133"/>
      <c r="HV676" s="133"/>
      <c r="HW676" s="133"/>
      <c r="HX676" s="133"/>
      <c r="HY676" s="133"/>
      <c r="HZ676" s="133"/>
      <c r="IA676" s="133"/>
      <c r="IB676" s="133"/>
      <c r="IC676" s="133"/>
      <c r="ID676" s="133"/>
      <c r="IE676" s="133"/>
      <c r="IF676" s="133"/>
      <c r="IG676" s="133"/>
      <c r="IH676" s="133"/>
      <c r="II676" s="133"/>
      <c r="IJ676" s="133"/>
      <c r="IK676" s="133"/>
      <c r="IL676" s="133"/>
      <c r="IM676" s="133"/>
      <c r="IN676" s="133"/>
      <c r="IO676" s="133"/>
      <c r="IP676" s="133"/>
      <c r="IQ676" s="133"/>
      <c r="IR676" s="133"/>
      <c r="IS676" s="133"/>
      <c r="IT676" s="133"/>
      <c r="IU676" s="133"/>
      <c r="IV676" s="133"/>
    </row>
    <row r="677" spans="1:256" s="132" customFormat="1" ht="13.8">
      <c r="A677" s="133"/>
      <c r="B677" s="133"/>
      <c r="C677" s="133"/>
      <c r="D677" s="133"/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GE677" s="133"/>
      <c r="GF677" s="133"/>
      <c r="GG677" s="133"/>
      <c r="GH677" s="133"/>
      <c r="GI677" s="133"/>
      <c r="GJ677" s="133"/>
      <c r="GK677" s="133"/>
      <c r="GL677" s="133"/>
      <c r="GM677" s="133"/>
      <c r="GN677" s="133"/>
      <c r="GO677" s="133"/>
      <c r="GP677" s="133"/>
      <c r="GQ677" s="133"/>
      <c r="GR677" s="133"/>
      <c r="GS677" s="133"/>
      <c r="GT677" s="133"/>
      <c r="GU677" s="133"/>
      <c r="GV677" s="133"/>
      <c r="GW677" s="133"/>
      <c r="GX677" s="133"/>
      <c r="GY677" s="133"/>
      <c r="GZ677" s="133"/>
      <c r="HA677" s="133"/>
      <c r="HB677" s="133"/>
      <c r="HC677" s="133"/>
      <c r="HD677" s="133"/>
      <c r="HE677" s="133"/>
      <c r="HF677" s="133"/>
      <c r="HG677" s="133"/>
      <c r="HH677" s="133"/>
      <c r="HI677" s="133"/>
      <c r="HJ677" s="133"/>
      <c r="HK677" s="133"/>
      <c r="HL677" s="133"/>
      <c r="HM677" s="133"/>
      <c r="HN677" s="133"/>
      <c r="HO677" s="133"/>
      <c r="HP677" s="133"/>
      <c r="HQ677" s="133"/>
      <c r="HR677" s="133"/>
      <c r="HS677" s="133"/>
      <c r="HT677" s="133"/>
      <c r="HU677" s="133"/>
      <c r="HV677" s="133"/>
      <c r="HW677" s="133"/>
      <c r="HX677" s="133"/>
      <c r="HY677" s="133"/>
      <c r="HZ677" s="133"/>
      <c r="IA677" s="133"/>
      <c r="IB677" s="133"/>
      <c r="IC677" s="133"/>
      <c r="ID677" s="133"/>
      <c r="IE677" s="133"/>
      <c r="IF677" s="133"/>
      <c r="IG677" s="133"/>
      <c r="IH677" s="133"/>
      <c r="II677" s="133"/>
      <c r="IJ677" s="133"/>
      <c r="IK677" s="133"/>
      <c r="IL677" s="133"/>
      <c r="IM677" s="133"/>
      <c r="IN677" s="133"/>
      <c r="IO677" s="133"/>
      <c r="IP677" s="133"/>
      <c r="IQ677" s="133"/>
      <c r="IR677" s="133"/>
      <c r="IS677" s="133"/>
      <c r="IT677" s="133"/>
      <c r="IU677" s="133"/>
      <c r="IV677" s="133"/>
    </row>
    <row r="678" spans="1:256" s="132" customFormat="1" ht="13.8">
      <c r="A678" s="133"/>
      <c r="B678" s="133"/>
      <c r="C678" s="133"/>
      <c r="D678" s="133"/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GE678" s="133"/>
      <c r="GF678" s="133"/>
      <c r="GG678" s="133"/>
      <c r="GH678" s="133"/>
      <c r="GI678" s="133"/>
      <c r="GJ678" s="133"/>
      <c r="GK678" s="133"/>
      <c r="GL678" s="133"/>
      <c r="GM678" s="133"/>
      <c r="GN678" s="133"/>
      <c r="GO678" s="133"/>
      <c r="GP678" s="133"/>
      <c r="GQ678" s="133"/>
      <c r="GR678" s="133"/>
      <c r="GS678" s="133"/>
      <c r="GT678" s="133"/>
      <c r="GU678" s="133"/>
      <c r="GV678" s="133"/>
      <c r="GW678" s="133"/>
      <c r="GX678" s="133"/>
      <c r="GY678" s="133"/>
      <c r="GZ678" s="133"/>
      <c r="HA678" s="133"/>
      <c r="HB678" s="133"/>
      <c r="HC678" s="133"/>
      <c r="HD678" s="133"/>
      <c r="HE678" s="133"/>
      <c r="HF678" s="133"/>
      <c r="HG678" s="133"/>
      <c r="HH678" s="133"/>
      <c r="HI678" s="133"/>
      <c r="HJ678" s="133"/>
      <c r="HK678" s="133"/>
      <c r="HL678" s="133"/>
      <c r="HM678" s="133"/>
      <c r="HN678" s="133"/>
      <c r="HO678" s="133"/>
      <c r="HP678" s="133"/>
      <c r="HQ678" s="133"/>
      <c r="HR678" s="133"/>
      <c r="HS678" s="133"/>
      <c r="HT678" s="133"/>
      <c r="HU678" s="133"/>
      <c r="HV678" s="133"/>
      <c r="HW678" s="133"/>
      <c r="HX678" s="133"/>
      <c r="HY678" s="133"/>
      <c r="HZ678" s="133"/>
      <c r="IA678" s="133"/>
      <c r="IB678" s="133"/>
      <c r="IC678" s="133"/>
      <c r="ID678" s="133"/>
      <c r="IE678" s="133"/>
      <c r="IF678" s="133"/>
      <c r="IG678" s="133"/>
      <c r="IH678" s="133"/>
      <c r="II678" s="133"/>
      <c r="IJ678" s="133"/>
      <c r="IK678" s="133"/>
      <c r="IL678" s="133"/>
      <c r="IM678" s="133"/>
      <c r="IN678" s="133"/>
      <c r="IO678" s="133"/>
      <c r="IP678" s="133"/>
      <c r="IQ678" s="133"/>
      <c r="IR678" s="133"/>
      <c r="IS678" s="133"/>
      <c r="IT678" s="133"/>
      <c r="IU678" s="133"/>
      <c r="IV678" s="133"/>
    </row>
    <row r="679" spans="1:256" s="132" customFormat="1" ht="13.8">
      <c r="A679" s="133"/>
      <c r="B679" s="133"/>
      <c r="C679" s="133"/>
      <c r="D679" s="133"/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GE679" s="133"/>
      <c r="GF679" s="133"/>
      <c r="GG679" s="133"/>
      <c r="GH679" s="133"/>
      <c r="GI679" s="133"/>
      <c r="GJ679" s="133"/>
      <c r="GK679" s="133"/>
      <c r="GL679" s="133"/>
      <c r="GM679" s="133"/>
      <c r="GN679" s="133"/>
      <c r="GO679" s="133"/>
      <c r="GP679" s="133"/>
      <c r="GQ679" s="133"/>
      <c r="GR679" s="133"/>
      <c r="GS679" s="133"/>
      <c r="GT679" s="133"/>
      <c r="GU679" s="133"/>
      <c r="GV679" s="133"/>
      <c r="GW679" s="133"/>
      <c r="GX679" s="133"/>
      <c r="GY679" s="133"/>
      <c r="GZ679" s="133"/>
      <c r="HA679" s="133"/>
      <c r="HB679" s="133"/>
      <c r="HC679" s="133"/>
      <c r="HD679" s="133"/>
      <c r="HE679" s="133"/>
      <c r="HF679" s="133"/>
      <c r="HG679" s="133"/>
      <c r="HH679" s="133"/>
      <c r="HI679" s="133"/>
      <c r="HJ679" s="133"/>
      <c r="HK679" s="133"/>
      <c r="HL679" s="133"/>
      <c r="HM679" s="133"/>
      <c r="HN679" s="133"/>
      <c r="HO679" s="133"/>
      <c r="HP679" s="133"/>
      <c r="HQ679" s="133"/>
      <c r="HR679" s="133"/>
      <c r="HS679" s="133"/>
      <c r="HT679" s="133"/>
      <c r="HU679" s="133"/>
      <c r="HV679" s="133"/>
      <c r="HW679" s="133"/>
      <c r="HX679" s="133"/>
      <c r="HY679" s="133"/>
      <c r="HZ679" s="133"/>
      <c r="IA679" s="133"/>
      <c r="IB679" s="133"/>
      <c r="IC679" s="133"/>
      <c r="ID679" s="133"/>
      <c r="IE679" s="133"/>
      <c r="IF679" s="133"/>
      <c r="IG679" s="133"/>
      <c r="IH679" s="133"/>
      <c r="II679" s="133"/>
      <c r="IJ679" s="133"/>
      <c r="IK679" s="133"/>
      <c r="IL679" s="133"/>
      <c r="IM679" s="133"/>
      <c r="IN679" s="133"/>
      <c r="IO679" s="133"/>
      <c r="IP679" s="133"/>
      <c r="IQ679" s="133"/>
      <c r="IR679" s="133"/>
      <c r="IS679" s="133"/>
      <c r="IT679" s="133"/>
      <c r="IU679" s="133"/>
      <c r="IV679" s="133"/>
    </row>
    <row r="680" spans="1:256" s="132" customFormat="1" ht="13.8">
      <c r="A680" s="133"/>
      <c r="B680" s="133"/>
      <c r="C680" s="133"/>
      <c r="D680" s="133"/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GE680" s="133"/>
      <c r="GF680" s="133"/>
      <c r="GG680" s="133"/>
      <c r="GH680" s="133"/>
      <c r="GI680" s="133"/>
      <c r="GJ680" s="133"/>
      <c r="GK680" s="133"/>
      <c r="GL680" s="133"/>
      <c r="GM680" s="133"/>
      <c r="GN680" s="133"/>
      <c r="GO680" s="133"/>
      <c r="GP680" s="133"/>
      <c r="GQ680" s="133"/>
      <c r="GR680" s="133"/>
      <c r="GS680" s="133"/>
      <c r="GT680" s="133"/>
      <c r="GU680" s="133"/>
      <c r="GV680" s="133"/>
      <c r="GW680" s="133"/>
      <c r="GX680" s="133"/>
      <c r="GY680" s="133"/>
      <c r="GZ680" s="133"/>
      <c r="HA680" s="133"/>
      <c r="HB680" s="133"/>
      <c r="HC680" s="133"/>
      <c r="HD680" s="133"/>
      <c r="HE680" s="133"/>
      <c r="HF680" s="133"/>
      <c r="HG680" s="133"/>
      <c r="HH680" s="133"/>
      <c r="HI680" s="133"/>
      <c r="HJ680" s="133"/>
      <c r="HK680" s="133"/>
      <c r="HL680" s="133"/>
      <c r="HM680" s="133"/>
      <c r="HN680" s="133"/>
      <c r="HO680" s="133"/>
      <c r="HP680" s="133"/>
      <c r="HQ680" s="133"/>
      <c r="HR680" s="133"/>
      <c r="HS680" s="133"/>
      <c r="HT680" s="133"/>
      <c r="HU680" s="133"/>
      <c r="HV680" s="133"/>
      <c r="HW680" s="133"/>
      <c r="HX680" s="133"/>
      <c r="HY680" s="133"/>
      <c r="HZ680" s="133"/>
      <c r="IA680" s="133"/>
      <c r="IB680" s="133"/>
      <c r="IC680" s="133"/>
      <c r="ID680" s="133"/>
      <c r="IE680" s="133"/>
      <c r="IF680" s="133"/>
      <c r="IG680" s="133"/>
      <c r="IH680" s="133"/>
      <c r="II680" s="133"/>
      <c r="IJ680" s="133"/>
      <c r="IK680" s="133"/>
      <c r="IL680" s="133"/>
      <c r="IM680" s="133"/>
      <c r="IN680" s="133"/>
      <c r="IO680" s="133"/>
      <c r="IP680" s="133"/>
      <c r="IQ680" s="133"/>
      <c r="IR680" s="133"/>
      <c r="IS680" s="133"/>
      <c r="IT680" s="133"/>
      <c r="IU680" s="133"/>
      <c r="IV680" s="133"/>
    </row>
    <row r="681" spans="1:256" s="132" customFormat="1" ht="13.8">
      <c r="A681" s="133"/>
      <c r="B681" s="133"/>
      <c r="C681" s="133"/>
      <c r="D681" s="133"/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GE681" s="133"/>
      <c r="GF681" s="133"/>
      <c r="GG681" s="133"/>
      <c r="GH681" s="133"/>
      <c r="GI681" s="133"/>
      <c r="GJ681" s="133"/>
      <c r="GK681" s="133"/>
      <c r="GL681" s="133"/>
      <c r="GM681" s="133"/>
      <c r="GN681" s="133"/>
      <c r="GO681" s="133"/>
      <c r="GP681" s="133"/>
      <c r="GQ681" s="133"/>
      <c r="GR681" s="133"/>
      <c r="GS681" s="133"/>
      <c r="GT681" s="133"/>
      <c r="GU681" s="133"/>
      <c r="GV681" s="133"/>
      <c r="GW681" s="133"/>
      <c r="GX681" s="133"/>
      <c r="GY681" s="133"/>
      <c r="GZ681" s="133"/>
      <c r="HA681" s="133"/>
      <c r="HB681" s="133"/>
      <c r="HC681" s="133"/>
      <c r="HD681" s="133"/>
      <c r="HE681" s="133"/>
      <c r="HF681" s="133"/>
      <c r="HG681" s="133"/>
      <c r="HH681" s="133"/>
      <c r="HI681" s="133"/>
      <c r="HJ681" s="133"/>
      <c r="HK681" s="133"/>
      <c r="HL681" s="133"/>
      <c r="HM681" s="133"/>
      <c r="HN681" s="133"/>
      <c r="HO681" s="133"/>
      <c r="HP681" s="133"/>
      <c r="HQ681" s="133"/>
      <c r="HR681" s="133"/>
      <c r="HS681" s="133"/>
      <c r="HT681" s="133"/>
      <c r="HU681" s="133"/>
      <c r="HV681" s="133"/>
      <c r="HW681" s="133"/>
      <c r="HX681" s="133"/>
      <c r="HY681" s="133"/>
      <c r="HZ681" s="133"/>
      <c r="IA681" s="133"/>
      <c r="IB681" s="133"/>
      <c r="IC681" s="133"/>
      <c r="ID681" s="133"/>
      <c r="IE681" s="133"/>
      <c r="IF681" s="133"/>
      <c r="IG681" s="133"/>
      <c r="IH681" s="133"/>
      <c r="II681" s="133"/>
      <c r="IJ681" s="133"/>
      <c r="IK681" s="133"/>
      <c r="IL681" s="133"/>
      <c r="IM681" s="133"/>
      <c r="IN681" s="133"/>
      <c r="IO681" s="133"/>
      <c r="IP681" s="133"/>
      <c r="IQ681" s="133"/>
      <c r="IR681" s="133"/>
      <c r="IS681" s="133"/>
      <c r="IT681" s="133"/>
      <c r="IU681" s="133"/>
      <c r="IV681" s="133"/>
    </row>
    <row r="682" spans="1:256" s="132" customFormat="1" ht="13.8">
      <c r="A682" s="133"/>
      <c r="B682" s="133"/>
      <c r="C682" s="133"/>
      <c r="D682" s="133"/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GE682" s="133"/>
      <c r="GF682" s="133"/>
      <c r="GG682" s="133"/>
      <c r="GH682" s="133"/>
      <c r="GI682" s="133"/>
      <c r="GJ682" s="133"/>
      <c r="GK682" s="133"/>
      <c r="GL682" s="133"/>
      <c r="GM682" s="133"/>
      <c r="GN682" s="133"/>
      <c r="GO682" s="133"/>
      <c r="GP682" s="133"/>
      <c r="GQ682" s="133"/>
      <c r="GR682" s="133"/>
      <c r="GS682" s="133"/>
      <c r="GT682" s="133"/>
      <c r="GU682" s="133"/>
      <c r="GV682" s="133"/>
      <c r="GW682" s="133"/>
      <c r="GX682" s="133"/>
      <c r="GY682" s="133"/>
      <c r="GZ682" s="133"/>
      <c r="HA682" s="133"/>
      <c r="HB682" s="133"/>
      <c r="HC682" s="133"/>
      <c r="HD682" s="133"/>
      <c r="HE682" s="133"/>
      <c r="HF682" s="133"/>
      <c r="HG682" s="133"/>
      <c r="HH682" s="133"/>
      <c r="HI682" s="133"/>
      <c r="HJ682" s="133"/>
      <c r="HK682" s="133"/>
      <c r="HL682" s="133"/>
      <c r="HM682" s="133"/>
      <c r="HN682" s="133"/>
      <c r="HO682" s="133"/>
      <c r="HP682" s="133"/>
      <c r="HQ682" s="133"/>
      <c r="HR682" s="133"/>
      <c r="HS682" s="133"/>
      <c r="HT682" s="133"/>
      <c r="HU682" s="133"/>
      <c r="HV682" s="133"/>
      <c r="HW682" s="133"/>
      <c r="HX682" s="133"/>
      <c r="HY682" s="133"/>
      <c r="HZ682" s="133"/>
      <c r="IA682" s="133"/>
      <c r="IB682" s="133"/>
      <c r="IC682" s="133"/>
      <c r="ID682" s="133"/>
      <c r="IE682" s="133"/>
      <c r="IF682" s="133"/>
      <c r="IG682" s="133"/>
      <c r="IH682" s="133"/>
      <c r="II682" s="133"/>
      <c r="IJ682" s="133"/>
      <c r="IK682" s="133"/>
      <c r="IL682" s="133"/>
      <c r="IM682" s="133"/>
      <c r="IN682" s="133"/>
      <c r="IO682" s="133"/>
      <c r="IP682" s="133"/>
      <c r="IQ682" s="133"/>
      <c r="IR682" s="133"/>
      <c r="IS682" s="133"/>
      <c r="IT682" s="133"/>
      <c r="IU682" s="133"/>
      <c r="IV682" s="133"/>
    </row>
    <row r="683" spans="1:256" s="132" customFormat="1" ht="13.8">
      <c r="A683" s="133"/>
      <c r="B683" s="133"/>
      <c r="C683" s="133"/>
      <c r="D683" s="133"/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GE683" s="133"/>
      <c r="GF683" s="133"/>
      <c r="GG683" s="133"/>
      <c r="GH683" s="133"/>
      <c r="GI683" s="133"/>
      <c r="GJ683" s="133"/>
      <c r="GK683" s="133"/>
      <c r="GL683" s="133"/>
      <c r="GM683" s="133"/>
      <c r="GN683" s="133"/>
      <c r="GO683" s="133"/>
      <c r="GP683" s="133"/>
      <c r="GQ683" s="133"/>
      <c r="GR683" s="133"/>
      <c r="GS683" s="133"/>
      <c r="GT683" s="133"/>
      <c r="GU683" s="133"/>
      <c r="GV683" s="133"/>
      <c r="GW683" s="133"/>
      <c r="GX683" s="133"/>
      <c r="GY683" s="133"/>
      <c r="GZ683" s="133"/>
      <c r="HA683" s="133"/>
      <c r="HB683" s="133"/>
      <c r="HC683" s="133"/>
      <c r="HD683" s="133"/>
      <c r="HE683" s="133"/>
      <c r="HF683" s="133"/>
      <c r="HG683" s="133"/>
      <c r="HH683" s="133"/>
      <c r="HI683" s="133"/>
      <c r="HJ683" s="133"/>
      <c r="HK683" s="133"/>
      <c r="HL683" s="133"/>
      <c r="HM683" s="133"/>
      <c r="HN683" s="133"/>
      <c r="HO683" s="133"/>
      <c r="HP683" s="133"/>
      <c r="HQ683" s="133"/>
      <c r="HR683" s="133"/>
      <c r="HS683" s="133"/>
      <c r="HT683" s="133"/>
      <c r="HU683" s="133"/>
      <c r="HV683" s="133"/>
      <c r="HW683" s="133"/>
      <c r="HX683" s="133"/>
      <c r="HY683" s="133"/>
      <c r="HZ683" s="133"/>
      <c r="IA683" s="133"/>
      <c r="IB683" s="133"/>
      <c r="IC683" s="133"/>
      <c r="ID683" s="133"/>
      <c r="IE683" s="133"/>
      <c r="IF683" s="133"/>
      <c r="IG683" s="133"/>
      <c r="IH683" s="133"/>
      <c r="II683" s="133"/>
      <c r="IJ683" s="133"/>
      <c r="IK683" s="133"/>
      <c r="IL683" s="133"/>
      <c r="IM683" s="133"/>
      <c r="IN683" s="133"/>
      <c r="IO683" s="133"/>
      <c r="IP683" s="133"/>
      <c r="IQ683" s="133"/>
      <c r="IR683" s="133"/>
      <c r="IS683" s="133"/>
      <c r="IT683" s="133"/>
      <c r="IU683" s="133"/>
      <c r="IV683" s="133"/>
    </row>
    <row r="684" spans="1:256" s="132" customFormat="1" ht="13.8">
      <c r="A684" s="133"/>
      <c r="B684" s="133"/>
      <c r="C684" s="133"/>
      <c r="D684" s="133"/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GE684" s="133"/>
      <c r="GF684" s="133"/>
      <c r="GG684" s="133"/>
      <c r="GH684" s="133"/>
      <c r="GI684" s="133"/>
      <c r="GJ684" s="133"/>
      <c r="GK684" s="133"/>
      <c r="GL684" s="133"/>
      <c r="GM684" s="133"/>
      <c r="GN684" s="133"/>
      <c r="GO684" s="133"/>
      <c r="GP684" s="133"/>
      <c r="GQ684" s="133"/>
      <c r="GR684" s="133"/>
      <c r="GS684" s="133"/>
      <c r="GT684" s="133"/>
      <c r="GU684" s="133"/>
      <c r="GV684" s="133"/>
      <c r="GW684" s="133"/>
      <c r="GX684" s="133"/>
      <c r="GY684" s="133"/>
      <c r="GZ684" s="133"/>
      <c r="HA684" s="133"/>
      <c r="HB684" s="133"/>
      <c r="HC684" s="133"/>
      <c r="HD684" s="133"/>
      <c r="HE684" s="133"/>
      <c r="HF684" s="133"/>
      <c r="HG684" s="133"/>
      <c r="HH684" s="133"/>
      <c r="HI684" s="133"/>
      <c r="HJ684" s="133"/>
      <c r="HK684" s="133"/>
      <c r="HL684" s="133"/>
      <c r="HM684" s="133"/>
      <c r="HN684" s="133"/>
      <c r="HO684" s="133"/>
      <c r="HP684" s="133"/>
      <c r="HQ684" s="133"/>
      <c r="HR684" s="133"/>
      <c r="HS684" s="133"/>
      <c r="HT684" s="133"/>
      <c r="HU684" s="133"/>
      <c r="HV684" s="133"/>
      <c r="HW684" s="133"/>
      <c r="HX684" s="133"/>
      <c r="HY684" s="133"/>
      <c r="HZ684" s="133"/>
      <c r="IA684" s="133"/>
      <c r="IB684" s="133"/>
      <c r="IC684" s="133"/>
      <c r="ID684" s="133"/>
      <c r="IE684" s="133"/>
      <c r="IF684" s="133"/>
      <c r="IG684" s="133"/>
      <c r="IH684" s="133"/>
      <c r="II684" s="133"/>
      <c r="IJ684" s="133"/>
      <c r="IK684" s="133"/>
      <c r="IL684" s="133"/>
      <c r="IM684" s="133"/>
      <c r="IN684" s="133"/>
      <c r="IO684" s="133"/>
      <c r="IP684" s="133"/>
      <c r="IQ684" s="133"/>
      <c r="IR684" s="133"/>
      <c r="IS684" s="133"/>
      <c r="IT684" s="133"/>
      <c r="IU684" s="133"/>
      <c r="IV684" s="133"/>
    </row>
    <row r="685" spans="1:256" s="132" customFormat="1" ht="13.8">
      <c r="A685" s="133"/>
      <c r="B685" s="133"/>
      <c r="C685" s="133"/>
      <c r="D685" s="133"/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GE685" s="133"/>
      <c r="GF685" s="133"/>
      <c r="GG685" s="133"/>
      <c r="GH685" s="133"/>
      <c r="GI685" s="133"/>
      <c r="GJ685" s="133"/>
      <c r="GK685" s="133"/>
      <c r="GL685" s="133"/>
      <c r="GM685" s="133"/>
      <c r="GN685" s="133"/>
      <c r="GO685" s="133"/>
      <c r="GP685" s="133"/>
      <c r="GQ685" s="133"/>
      <c r="GR685" s="133"/>
      <c r="GS685" s="133"/>
      <c r="GT685" s="133"/>
      <c r="GU685" s="133"/>
      <c r="GV685" s="133"/>
      <c r="GW685" s="133"/>
      <c r="GX685" s="133"/>
      <c r="GY685" s="133"/>
      <c r="GZ685" s="133"/>
      <c r="HA685" s="133"/>
      <c r="HB685" s="133"/>
      <c r="HC685" s="133"/>
      <c r="HD685" s="133"/>
      <c r="HE685" s="133"/>
      <c r="HF685" s="133"/>
      <c r="HG685" s="133"/>
      <c r="HH685" s="133"/>
      <c r="HI685" s="133"/>
      <c r="HJ685" s="133"/>
      <c r="HK685" s="133"/>
      <c r="HL685" s="133"/>
      <c r="HM685" s="133"/>
      <c r="HN685" s="133"/>
      <c r="HO685" s="133"/>
      <c r="HP685" s="133"/>
      <c r="HQ685" s="133"/>
      <c r="HR685" s="133"/>
      <c r="HS685" s="133"/>
      <c r="HT685" s="133"/>
      <c r="HU685" s="133"/>
      <c r="HV685" s="133"/>
      <c r="HW685" s="133"/>
      <c r="HX685" s="133"/>
      <c r="HY685" s="133"/>
      <c r="HZ685" s="133"/>
      <c r="IA685" s="133"/>
      <c r="IB685" s="133"/>
      <c r="IC685" s="133"/>
      <c r="ID685" s="133"/>
      <c r="IE685" s="133"/>
      <c r="IF685" s="133"/>
      <c r="IG685" s="133"/>
      <c r="IH685" s="133"/>
      <c r="II685" s="133"/>
      <c r="IJ685" s="133"/>
      <c r="IK685" s="133"/>
      <c r="IL685" s="133"/>
      <c r="IM685" s="133"/>
      <c r="IN685" s="133"/>
      <c r="IO685" s="133"/>
      <c r="IP685" s="133"/>
      <c r="IQ685" s="133"/>
      <c r="IR685" s="133"/>
      <c r="IS685" s="133"/>
      <c r="IT685" s="133"/>
      <c r="IU685" s="133"/>
      <c r="IV685" s="133"/>
    </row>
    <row r="686" spans="1:256" s="132" customFormat="1" ht="13.8">
      <c r="A686" s="133"/>
      <c r="B686" s="133"/>
      <c r="C686" s="133"/>
      <c r="D686" s="133"/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GE686" s="133"/>
      <c r="GF686" s="133"/>
      <c r="GG686" s="133"/>
      <c r="GH686" s="133"/>
      <c r="GI686" s="133"/>
      <c r="GJ686" s="133"/>
      <c r="GK686" s="133"/>
      <c r="GL686" s="133"/>
      <c r="GM686" s="133"/>
      <c r="GN686" s="133"/>
      <c r="GO686" s="133"/>
      <c r="GP686" s="133"/>
      <c r="GQ686" s="133"/>
      <c r="GR686" s="133"/>
      <c r="GS686" s="133"/>
      <c r="GT686" s="133"/>
      <c r="GU686" s="133"/>
      <c r="GV686" s="133"/>
      <c r="GW686" s="133"/>
      <c r="GX686" s="133"/>
      <c r="GY686" s="133"/>
      <c r="GZ686" s="133"/>
      <c r="HA686" s="133"/>
      <c r="HB686" s="133"/>
      <c r="HC686" s="133"/>
      <c r="HD686" s="133"/>
      <c r="HE686" s="133"/>
      <c r="HF686" s="133"/>
      <c r="HG686" s="133"/>
      <c r="HH686" s="133"/>
      <c r="HI686" s="133"/>
      <c r="HJ686" s="133"/>
      <c r="HK686" s="133"/>
      <c r="HL686" s="133"/>
      <c r="HM686" s="133"/>
      <c r="HN686" s="133"/>
      <c r="HO686" s="133"/>
      <c r="HP686" s="133"/>
      <c r="HQ686" s="133"/>
      <c r="HR686" s="133"/>
      <c r="HS686" s="133"/>
      <c r="HT686" s="133"/>
      <c r="HU686" s="133"/>
      <c r="HV686" s="133"/>
      <c r="HW686" s="133"/>
      <c r="HX686" s="133"/>
      <c r="HY686" s="133"/>
      <c r="HZ686" s="133"/>
      <c r="IA686" s="133"/>
      <c r="IB686" s="133"/>
      <c r="IC686" s="133"/>
      <c r="ID686" s="133"/>
      <c r="IE686" s="133"/>
      <c r="IF686" s="133"/>
      <c r="IG686" s="133"/>
      <c r="IH686" s="133"/>
      <c r="II686" s="133"/>
      <c r="IJ686" s="133"/>
      <c r="IK686" s="133"/>
      <c r="IL686" s="133"/>
      <c r="IM686" s="133"/>
      <c r="IN686" s="133"/>
      <c r="IO686" s="133"/>
      <c r="IP686" s="133"/>
      <c r="IQ686" s="133"/>
      <c r="IR686" s="133"/>
      <c r="IS686" s="133"/>
      <c r="IT686" s="133"/>
      <c r="IU686" s="133"/>
      <c r="IV686" s="133"/>
    </row>
    <row r="687" spans="1:256" s="132" customFormat="1" ht="13.8">
      <c r="A687" s="133"/>
      <c r="B687" s="133"/>
      <c r="C687" s="133"/>
      <c r="D687" s="133"/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GE687" s="133"/>
      <c r="GF687" s="133"/>
      <c r="GG687" s="133"/>
      <c r="GH687" s="133"/>
      <c r="GI687" s="133"/>
      <c r="GJ687" s="133"/>
      <c r="GK687" s="133"/>
      <c r="GL687" s="133"/>
      <c r="GM687" s="133"/>
      <c r="GN687" s="133"/>
      <c r="GO687" s="133"/>
      <c r="GP687" s="133"/>
      <c r="GQ687" s="133"/>
      <c r="GR687" s="133"/>
      <c r="GS687" s="133"/>
      <c r="GT687" s="133"/>
      <c r="GU687" s="133"/>
      <c r="GV687" s="133"/>
      <c r="GW687" s="133"/>
      <c r="GX687" s="133"/>
      <c r="GY687" s="133"/>
      <c r="GZ687" s="133"/>
      <c r="HA687" s="133"/>
      <c r="HB687" s="133"/>
      <c r="HC687" s="133"/>
      <c r="HD687" s="133"/>
      <c r="HE687" s="133"/>
      <c r="HF687" s="133"/>
      <c r="HG687" s="133"/>
      <c r="HH687" s="133"/>
      <c r="HI687" s="133"/>
      <c r="HJ687" s="133"/>
      <c r="HK687" s="133"/>
      <c r="HL687" s="133"/>
      <c r="HM687" s="133"/>
      <c r="HN687" s="133"/>
      <c r="HO687" s="133"/>
      <c r="HP687" s="133"/>
      <c r="HQ687" s="133"/>
      <c r="HR687" s="133"/>
      <c r="HS687" s="133"/>
      <c r="HT687" s="133"/>
      <c r="HU687" s="133"/>
      <c r="HV687" s="133"/>
      <c r="HW687" s="133"/>
      <c r="HX687" s="133"/>
      <c r="HY687" s="133"/>
      <c r="HZ687" s="133"/>
      <c r="IA687" s="133"/>
      <c r="IB687" s="133"/>
      <c r="IC687" s="133"/>
      <c r="ID687" s="133"/>
      <c r="IE687" s="133"/>
      <c r="IF687" s="133"/>
      <c r="IG687" s="133"/>
      <c r="IH687" s="133"/>
      <c r="II687" s="133"/>
      <c r="IJ687" s="133"/>
      <c r="IK687" s="133"/>
      <c r="IL687" s="133"/>
      <c r="IM687" s="133"/>
      <c r="IN687" s="133"/>
      <c r="IO687" s="133"/>
      <c r="IP687" s="133"/>
      <c r="IQ687" s="133"/>
      <c r="IR687" s="133"/>
      <c r="IS687" s="133"/>
      <c r="IT687" s="133"/>
      <c r="IU687" s="133"/>
      <c r="IV687" s="133"/>
    </row>
    <row r="688" spans="1:256" s="132" customFormat="1" ht="13.8">
      <c r="A688" s="133"/>
      <c r="B688" s="133"/>
      <c r="C688" s="133"/>
      <c r="D688" s="133"/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GE688" s="133"/>
      <c r="GF688" s="133"/>
      <c r="GG688" s="133"/>
      <c r="GH688" s="133"/>
      <c r="GI688" s="133"/>
      <c r="GJ688" s="133"/>
      <c r="GK688" s="133"/>
      <c r="GL688" s="133"/>
      <c r="GM688" s="133"/>
      <c r="GN688" s="133"/>
      <c r="GO688" s="133"/>
      <c r="GP688" s="133"/>
      <c r="GQ688" s="133"/>
      <c r="GR688" s="133"/>
      <c r="GS688" s="133"/>
      <c r="GT688" s="133"/>
      <c r="GU688" s="133"/>
      <c r="GV688" s="133"/>
      <c r="GW688" s="133"/>
      <c r="GX688" s="133"/>
      <c r="GY688" s="133"/>
      <c r="GZ688" s="133"/>
      <c r="HA688" s="133"/>
      <c r="HB688" s="133"/>
      <c r="HC688" s="133"/>
      <c r="HD688" s="133"/>
      <c r="HE688" s="133"/>
      <c r="HF688" s="133"/>
      <c r="HG688" s="133"/>
      <c r="HH688" s="133"/>
      <c r="HI688" s="133"/>
      <c r="HJ688" s="133"/>
      <c r="HK688" s="133"/>
      <c r="HL688" s="133"/>
      <c r="HM688" s="133"/>
      <c r="HN688" s="133"/>
      <c r="HO688" s="133"/>
      <c r="HP688" s="133"/>
      <c r="HQ688" s="133"/>
      <c r="HR688" s="133"/>
      <c r="HS688" s="133"/>
      <c r="HT688" s="133"/>
      <c r="HU688" s="133"/>
      <c r="HV688" s="133"/>
      <c r="HW688" s="133"/>
      <c r="HX688" s="133"/>
      <c r="HY688" s="133"/>
      <c r="HZ688" s="133"/>
      <c r="IA688" s="133"/>
      <c r="IB688" s="133"/>
      <c r="IC688" s="133"/>
      <c r="ID688" s="133"/>
      <c r="IE688" s="133"/>
      <c r="IF688" s="133"/>
      <c r="IG688" s="133"/>
      <c r="IH688" s="133"/>
      <c r="II688" s="133"/>
      <c r="IJ688" s="133"/>
      <c r="IK688" s="133"/>
      <c r="IL688" s="133"/>
      <c r="IM688" s="133"/>
      <c r="IN688" s="133"/>
      <c r="IO688" s="133"/>
      <c r="IP688" s="133"/>
      <c r="IQ688" s="133"/>
      <c r="IR688" s="133"/>
      <c r="IS688" s="133"/>
      <c r="IT688" s="133"/>
      <c r="IU688" s="133"/>
      <c r="IV688" s="133"/>
    </row>
    <row r="689" spans="1:256" s="132" customFormat="1" ht="13.8">
      <c r="A689" s="133"/>
      <c r="B689" s="133"/>
      <c r="C689" s="133"/>
      <c r="D689" s="133"/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GE689" s="133"/>
      <c r="GF689" s="133"/>
      <c r="GG689" s="133"/>
      <c r="GH689" s="133"/>
      <c r="GI689" s="133"/>
      <c r="GJ689" s="133"/>
      <c r="GK689" s="133"/>
      <c r="GL689" s="133"/>
      <c r="GM689" s="133"/>
      <c r="GN689" s="133"/>
      <c r="GO689" s="133"/>
      <c r="GP689" s="133"/>
      <c r="GQ689" s="133"/>
      <c r="GR689" s="133"/>
      <c r="GS689" s="133"/>
      <c r="GT689" s="133"/>
      <c r="GU689" s="133"/>
      <c r="GV689" s="133"/>
      <c r="GW689" s="133"/>
      <c r="GX689" s="133"/>
      <c r="GY689" s="133"/>
      <c r="GZ689" s="133"/>
      <c r="HA689" s="133"/>
      <c r="HB689" s="133"/>
      <c r="HC689" s="133"/>
      <c r="HD689" s="133"/>
      <c r="HE689" s="133"/>
      <c r="HF689" s="133"/>
      <c r="HG689" s="133"/>
      <c r="HH689" s="133"/>
      <c r="HI689" s="133"/>
      <c r="HJ689" s="133"/>
      <c r="HK689" s="133"/>
      <c r="HL689" s="133"/>
      <c r="HM689" s="133"/>
      <c r="HN689" s="133"/>
      <c r="HO689" s="133"/>
      <c r="HP689" s="133"/>
      <c r="HQ689" s="133"/>
      <c r="HR689" s="133"/>
      <c r="HS689" s="133"/>
      <c r="HT689" s="133"/>
      <c r="HU689" s="133"/>
      <c r="HV689" s="133"/>
      <c r="HW689" s="133"/>
      <c r="HX689" s="133"/>
      <c r="HY689" s="133"/>
      <c r="HZ689" s="133"/>
      <c r="IA689" s="133"/>
      <c r="IB689" s="133"/>
      <c r="IC689" s="133"/>
      <c r="ID689" s="133"/>
      <c r="IE689" s="133"/>
      <c r="IF689" s="133"/>
      <c r="IG689" s="133"/>
      <c r="IH689" s="133"/>
      <c r="II689" s="133"/>
      <c r="IJ689" s="133"/>
      <c r="IK689" s="133"/>
      <c r="IL689" s="133"/>
      <c r="IM689" s="133"/>
      <c r="IN689" s="133"/>
      <c r="IO689" s="133"/>
      <c r="IP689" s="133"/>
      <c r="IQ689" s="133"/>
      <c r="IR689" s="133"/>
      <c r="IS689" s="133"/>
      <c r="IT689" s="133"/>
      <c r="IU689" s="133"/>
      <c r="IV689" s="133"/>
    </row>
    <row r="690" spans="1:256" s="132" customFormat="1" ht="13.8">
      <c r="A690" s="133"/>
      <c r="B690" s="133"/>
      <c r="C690" s="133"/>
      <c r="D690" s="133"/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GE690" s="133"/>
      <c r="GF690" s="133"/>
      <c r="GG690" s="133"/>
      <c r="GH690" s="133"/>
      <c r="GI690" s="133"/>
      <c r="GJ690" s="133"/>
      <c r="GK690" s="133"/>
      <c r="GL690" s="133"/>
      <c r="GM690" s="133"/>
      <c r="GN690" s="133"/>
      <c r="GO690" s="133"/>
      <c r="GP690" s="133"/>
      <c r="GQ690" s="133"/>
      <c r="GR690" s="133"/>
      <c r="GS690" s="133"/>
      <c r="GT690" s="133"/>
      <c r="GU690" s="133"/>
      <c r="GV690" s="133"/>
      <c r="GW690" s="133"/>
      <c r="GX690" s="133"/>
      <c r="GY690" s="133"/>
      <c r="GZ690" s="133"/>
      <c r="HA690" s="133"/>
      <c r="HB690" s="133"/>
      <c r="HC690" s="133"/>
      <c r="HD690" s="133"/>
      <c r="HE690" s="133"/>
      <c r="HF690" s="133"/>
      <c r="HG690" s="133"/>
      <c r="HH690" s="133"/>
      <c r="HI690" s="133"/>
      <c r="HJ690" s="133"/>
      <c r="HK690" s="133"/>
      <c r="HL690" s="133"/>
      <c r="HM690" s="133"/>
      <c r="HN690" s="133"/>
      <c r="HO690" s="133"/>
      <c r="HP690" s="133"/>
      <c r="HQ690" s="133"/>
      <c r="HR690" s="133"/>
      <c r="HS690" s="133"/>
      <c r="HT690" s="133"/>
      <c r="HU690" s="133"/>
      <c r="HV690" s="133"/>
      <c r="HW690" s="133"/>
      <c r="HX690" s="133"/>
      <c r="HY690" s="133"/>
      <c r="HZ690" s="133"/>
      <c r="IA690" s="133"/>
      <c r="IB690" s="133"/>
      <c r="IC690" s="133"/>
      <c r="ID690" s="133"/>
      <c r="IE690" s="133"/>
      <c r="IF690" s="133"/>
      <c r="IG690" s="133"/>
      <c r="IH690" s="133"/>
      <c r="II690" s="133"/>
      <c r="IJ690" s="133"/>
      <c r="IK690" s="133"/>
      <c r="IL690" s="133"/>
      <c r="IM690" s="133"/>
      <c r="IN690" s="133"/>
      <c r="IO690" s="133"/>
      <c r="IP690" s="133"/>
      <c r="IQ690" s="133"/>
      <c r="IR690" s="133"/>
      <c r="IS690" s="133"/>
      <c r="IT690" s="133"/>
      <c r="IU690" s="133"/>
      <c r="IV690" s="133"/>
    </row>
    <row r="691" spans="1:256" s="132" customFormat="1" ht="13.8">
      <c r="A691" s="133"/>
      <c r="B691" s="133"/>
      <c r="C691" s="133"/>
      <c r="D691" s="133"/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GE691" s="133"/>
      <c r="GF691" s="133"/>
      <c r="GG691" s="133"/>
      <c r="GH691" s="133"/>
      <c r="GI691" s="133"/>
      <c r="GJ691" s="133"/>
      <c r="GK691" s="133"/>
      <c r="GL691" s="133"/>
      <c r="GM691" s="133"/>
      <c r="GN691" s="133"/>
      <c r="GO691" s="133"/>
      <c r="GP691" s="133"/>
      <c r="GQ691" s="133"/>
      <c r="GR691" s="133"/>
      <c r="GS691" s="133"/>
      <c r="GT691" s="133"/>
      <c r="GU691" s="133"/>
      <c r="GV691" s="133"/>
      <c r="GW691" s="133"/>
      <c r="GX691" s="133"/>
      <c r="GY691" s="133"/>
      <c r="GZ691" s="133"/>
      <c r="HA691" s="133"/>
      <c r="HB691" s="133"/>
      <c r="HC691" s="133"/>
      <c r="HD691" s="133"/>
      <c r="HE691" s="133"/>
      <c r="HF691" s="133"/>
      <c r="HG691" s="133"/>
      <c r="HH691" s="133"/>
      <c r="HI691" s="133"/>
      <c r="HJ691" s="133"/>
      <c r="HK691" s="133"/>
      <c r="HL691" s="133"/>
      <c r="HM691" s="133"/>
      <c r="HN691" s="133"/>
      <c r="HO691" s="133"/>
      <c r="HP691" s="133"/>
      <c r="HQ691" s="133"/>
      <c r="HR691" s="133"/>
      <c r="HS691" s="133"/>
      <c r="HT691" s="133"/>
      <c r="HU691" s="133"/>
      <c r="HV691" s="133"/>
      <c r="HW691" s="133"/>
      <c r="HX691" s="133"/>
      <c r="HY691" s="133"/>
      <c r="HZ691" s="133"/>
      <c r="IA691" s="133"/>
      <c r="IB691" s="133"/>
      <c r="IC691" s="133"/>
      <c r="ID691" s="133"/>
      <c r="IE691" s="133"/>
      <c r="IF691" s="133"/>
      <c r="IG691" s="133"/>
      <c r="IH691" s="133"/>
      <c r="II691" s="133"/>
      <c r="IJ691" s="133"/>
      <c r="IK691" s="133"/>
      <c r="IL691" s="133"/>
      <c r="IM691" s="133"/>
      <c r="IN691" s="133"/>
      <c r="IO691" s="133"/>
      <c r="IP691" s="133"/>
      <c r="IQ691" s="133"/>
      <c r="IR691" s="133"/>
      <c r="IS691" s="133"/>
      <c r="IT691" s="133"/>
      <c r="IU691" s="133"/>
      <c r="IV691" s="133"/>
    </row>
    <row r="692" spans="1:256" s="132" customFormat="1" ht="13.8">
      <c r="A692" s="133"/>
      <c r="B692" s="133"/>
      <c r="C692" s="133"/>
      <c r="D692" s="133"/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GE692" s="133"/>
      <c r="GF692" s="133"/>
      <c r="GG692" s="133"/>
      <c r="GH692" s="133"/>
      <c r="GI692" s="133"/>
      <c r="GJ692" s="133"/>
      <c r="GK692" s="133"/>
      <c r="GL692" s="133"/>
      <c r="GM692" s="133"/>
      <c r="GN692" s="133"/>
      <c r="GO692" s="133"/>
      <c r="GP692" s="133"/>
      <c r="GQ692" s="133"/>
      <c r="GR692" s="133"/>
      <c r="GS692" s="133"/>
      <c r="GT692" s="133"/>
      <c r="GU692" s="133"/>
      <c r="GV692" s="133"/>
      <c r="GW692" s="133"/>
      <c r="GX692" s="133"/>
      <c r="GY692" s="133"/>
      <c r="GZ692" s="133"/>
      <c r="HA692" s="133"/>
      <c r="HB692" s="133"/>
      <c r="HC692" s="133"/>
      <c r="HD692" s="133"/>
      <c r="HE692" s="133"/>
      <c r="HF692" s="133"/>
      <c r="HG692" s="133"/>
      <c r="HH692" s="133"/>
      <c r="HI692" s="133"/>
      <c r="HJ692" s="133"/>
      <c r="HK692" s="133"/>
      <c r="HL692" s="133"/>
      <c r="HM692" s="133"/>
      <c r="HN692" s="133"/>
      <c r="HO692" s="133"/>
      <c r="HP692" s="133"/>
      <c r="HQ692" s="133"/>
      <c r="HR692" s="133"/>
      <c r="HS692" s="133"/>
      <c r="HT692" s="133"/>
      <c r="HU692" s="133"/>
      <c r="HV692" s="133"/>
      <c r="HW692" s="133"/>
      <c r="HX692" s="133"/>
      <c r="HY692" s="133"/>
      <c r="HZ692" s="133"/>
      <c r="IA692" s="133"/>
      <c r="IB692" s="133"/>
      <c r="IC692" s="133"/>
      <c r="ID692" s="133"/>
      <c r="IE692" s="133"/>
      <c r="IF692" s="133"/>
      <c r="IG692" s="133"/>
      <c r="IH692" s="133"/>
      <c r="II692" s="133"/>
      <c r="IJ692" s="133"/>
      <c r="IK692" s="133"/>
      <c r="IL692" s="133"/>
      <c r="IM692" s="133"/>
      <c r="IN692" s="133"/>
      <c r="IO692" s="133"/>
      <c r="IP692" s="133"/>
      <c r="IQ692" s="133"/>
      <c r="IR692" s="133"/>
      <c r="IS692" s="133"/>
      <c r="IT692" s="133"/>
      <c r="IU692" s="133"/>
      <c r="IV692" s="133"/>
    </row>
    <row r="693" spans="1:256" s="132" customFormat="1" ht="13.8">
      <c r="A693" s="133"/>
      <c r="B693" s="133"/>
      <c r="C693" s="133"/>
      <c r="D693" s="133"/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GE693" s="133"/>
      <c r="GF693" s="133"/>
      <c r="GG693" s="133"/>
      <c r="GH693" s="133"/>
      <c r="GI693" s="133"/>
      <c r="GJ693" s="133"/>
      <c r="GK693" s="133"/>
      <c r="GL693" s="133"/>
      <c r="GM693" s="133"/>
      <c r="GN693" s="133"/>
      <c r="GO693" s="133"/>
      <c r="GP693" s="133"/>
      <c r="GQ693" s="133"/>
      <c r="GR693" s="133"/>
      <c r="GS693" s="133"/>
      <c r="GT693" s="133"/>
      <c r="GU693" s="133"/>
      <c r="GV693" s="133"/>
      <c r="GW693" s="133"/>
      <c r="GX693" s="133"/>
      <c r="GY693" s="133"/>
      <c r="GZ693" s="133"/>
      <c r="HA693" s="133"/>
      <c r="HB693" s="133"/>
      <c r="HC693" s="133"/>
      <c r="HD693" s="133"/>
      <c r="HE693" s="133"/>
      <c r="HF693" s="133"/>
      <c r="HG693" s="133"/>
      <c r="HH693" s="133"/>
      <c r="HI693" s="133"/>
      <c r="HJ693" s="133"/>
      <c r="HK693" s="133"/>
      <c r="HL693" s="133"/>
      <c r="HM693" s="133"/>
      <c r="HN693" s="133"/>
      <c r="HO693" s="133"/>
      <c r="HP693" s="133"/>
      <c r="HQ693" s="133"/>
      <c r="HR693" s="133"/>
      <c r="HS693" s="133"/>
      <c r="HT693" s="133"/>
      <c r="HU693" s="133"/>
      <c r="HV693" s="133"/>
      <c r="HW693" s="133"/>
      <c r="HX693" s="133"/>
      <c r="HY693" s="133"/>
      <c r="HZ693" s="133"/>
      <c r="IA693" s="133"/>
      <c r="IB693" s="133"/>
      <c r="IC693" s="133"/>
      <c r="ID693" s="133"/>
      <c r="IE693" s="133"/>
      <c r="IF693" s="133"/>
      <c r="IG693" s="133"/>
      <c r="IH693" s="133"/>
      <c r="II693" s="133"/>
      <c r="IJ693" s="133"/>
      <c r="IK693" s="133"/>
      <c r="IL693" s="133"/>
      <c r="IM693" s="133"/>
      <c r="IN693" s="133"/>
      <c r="IO693" s="133"/>
      <c r="IP693" s="133"/>
      <c r="IQ693" s="133"/>
      <c r="IR693" s="133"/>
      <c r="IS693" s="133"/>
      <c r="IT693" s="133"/>
      <c r="IU693" s="133"/>
      <c r="IV693" s="133"/>
    </row>
    <row r="694" spans="1:256" s="132" customFormat="1" ht="13.8">
      <c r="A694" s="133"/>
      <c r="B694" s="133"/>
      <c r="C694" s="133"/>
      <c r="D694" s="133"/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GE694" s="133"/>
      <c r="GF694" s="133"/>
      <c r="GG694" s="133"/>
      <c r="GH694" s="133"/>
      <c r="GI694" s="133"/>
      <c r="GJ694" s="133"/>
      <c r="GK694" s="133"/>
      <c r="GL694" s="133"/>
      <c r="GM694" s="133"/>
      <c r="GN694" s="133"/>
      <c r="GO694" s="133"/>
      <c r="GP694" s="133"/>
      <c r="GQ694" s="133"/>
      <c r="GR694" s="133"/>
      <c r="GS694" s="133"/>
      <c r="GT694" s="133"/>
      <c r="GU694" s="133"/>
      <c r="GV694" s="133"/>
      <c r="GW694" s="133"/>
      <c r="GX694" s="133"/>
      <c r="GY694" s="133"/>
      <c r="GZ694" s="133"/>
      <c r="HA694" s="133"/>
      <c r="HB694" s="133"/>
      <c r="HC694" s="133"/>
      <c r="HD694" s="133"/>
      <c r="HE694" s="133"/>
      <c r="HF694" s="133"/>
      <c r="HG694" s="133"/>
      <c r="HH694" s="133"/>
      <c r="HI694" s="133"/>
      <c r="HJ694" s="133"/>
      <c r="HK694" s="133"/>
      <c r="HL694" s="133"/>
      <c r="HM694" s="133"/>
      <c r="HN694" s="133"/>
      <c r="HO694" s="133"/>
      <c r="HP694" s="133"/>
      <c r="HQ694" s="133"/>
      <c r="HR694" s="133"/>
      <c r="HS694" s="133"/>
      <c r="HT694" s="133"/>
      <c r="HU694" s="133"/>
      <c r="HV694" s="133"/>
      <c r="HW694" s="133"/>
      <c r="HX694" s="133"/>
      <c r="HY694" s="133"/>
      <c r="HZ694" s="133"/>
      <c r="IA694" s="133"/>
      <c r="IB694" s="133"/>
      <c r="IC694" s="133"/>
      <c r="ID694" s="133"/>
      <c r="IE694" s="133"/>
      <c r="IF694" s="133"/>
      <c r="IG694" s="133"/>
      <c r="IH694" s="133"/>
      <c r="II694" s="133"/>
      <c r="IJ694" s="133"/>
      <c r="IK694" s="133"/>
      <c r="IL694" s="133"/>
      <c r="IM694" s="133"/>
      <c r="IN694" s="133"/>
      <c r="IO694" s="133"/>
      <c r="IP694" s="133"/>
      <c r="IQ694" s="133"/>
      <c r="IR694" s="133"/>
      <c r="IS694" s="133"/>
      <c r="IT694" s="133"/>
      <c r="IU694" s="133"/>
      <c r="IV694" s="133"/>
    </row>
    <row r="695" spans="1:256" s="132" customFormat="1" ht="13.8">
      <c r="A695" s="133"/>
      <c r="B695" s="133"/>
      <c r="C695" s="133"/>
      <c r="D695" s="133"/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GE695" s="133"/>
      <c r="GF695" s="133"/>
      <c r="GG695" s="133"/>
      <c r="GH695" s="133"/>
      <c r="GI695" s="133"/>
      <c r="GJ695" s="133"/>
      <c r="GK695" s="133"/>
      <c r="GL695" s="133"/>
      <c r="GM695" s="133"/>
      <c r="GN695" s="133"/>
      <c r="GO695" s="133"/>
      <c r="GP695" s="133"/>
      <c r="GQ695" s="133"/>
      <c r="GR695" s="133"/>
      <c r="GS695" s="133"/>
      <c r="GT695" s="133"/>
      <c r="GU695" s="133"/>
      <c r="GV695" s="133"/>
      <c r="GW695" s="133"/>
      <c r="GX695" s="133"/>
      <c r="GY695" s="133"/>
      <c r="GZ695" s="133"/>
      <c r="HA695" s="133"/>
      <c r="HB695" s="133"/>
      <c r="HC695" s="133"/>
      <c r="HD695" s="133"/>
      <c r="HE695" s="133"/>
      <c r="HF695" s="133"/>
      <c r="HG695" s="133"/>
      <c r="HH695" s="133"/>
      <c r="HI695" s="133"/>
      <c r="HJ695" s="133"/>
      <c r="HK695" s="133"/>
      <c r="HL695" s="133"/>
      <c r="HM695" s="133"/>
      <c r="HN695" s="133"/>
      <c r="HO695" s="133"/>
      <c r="HP695" s="133"/>
      <c r="HQ695" s="133"/>
      <c r="HR695" s="133"/>
      <c r="HS695" s="133"/>
      <c r="HT695" s="133"/>
      <c r="HU695" s="133"/>
      <c r="HV695" s="133"/>
      <c r="HW695" s="133"/>
      <c r="HX695" s="133"/>
      <c r="HY695" s="133"/>
      <c r="HZ695" s="133"/>
      <c r="IA695" s="133"/>
      <c r="IB695" s="133"/>
      <c r="IC695" s="133"/>
      <c r="ID695" s="133"/>
      <c r="IE695" s="133"/>
      <c r="IF695" s="133"/>
      <c r="IG695" s="133"/>
      <c r="IH695" s="133"/>
      <c r="II695" s="133"/>
      <c r="IJ695" s="133"/>
      <c r="IK695" s="133"/>
      <c r="IL695" s="133"/>
      <c r="IM695" s="133"/>
      <c r="IN695" s="133"/>
      <c r="IO695" s="133"/>
      <c r="IP695" s="133"/>
      <c r="IQ695" s="133"/>
      <c r="IR695" s="133"/>
      <c r="IS695" s="133"/>
      <c r="IT695" s="133"/>
      <c r="IU695" s="133"/>
      <c r="IV695" s="133"/>
    </row>
    <row r="696" spans="1:256" s="132" customFormat="1" ht="13.8">
      <c r="A696" s="133"/>
      <c r="B696" s="133"/>
      <c r="C696" s="133"/>
      <c r="D696" s="133"/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GE696" s="133"/>
      <c r="GF696" s="133"/>
      <c r="GG696" s="133"/>
      <c r="GH696" s="133"/>
      <c r="GI696" s="133"/>
      <c r="GJ696" s="133"/>
      <c r="GK696" s="133"/>
      <c r="GL696" s="133"/>
      <c r="GM696" s="133"/>
      <c r="GN696" s="133"/>
      <c r="GO696" s="133"/>
      <c r="GP696" s="133"/>
      <c r="GQ696" s="133"/>
      <c r="GR696" s="133"/>
      <c r="GS696" s="133"/>
      <c r="GT696" s="133"/>
      <c r="GU696" s="133"/>
      <c r="GV696" s="133"/>
      <c r="GW696" s="133"/>
      <c r="GX696" s="133"/>
      <c r="GY696" s="133"/>
      <c r="GZ696" s="133"/>
      <c r="HA696" s="133"/>
      <c r="HB696" s="133"/>
      <c r="HC696" s="133"/>
      <c r="HD696" s="133"/>
      <c r="HE696" s="133"/>
      <c r="HF696" s="133"/>
      <c r="HG696" s="133"/>
      <c r="HH696" s="133"/>
      <c r="HI696" s="133"/>
      <c r="HJ696" s="133"/>
      <c r="HK696" s="133"/>
      <c r="HL696" s="133"/>
      <c r="HM696" s="133"/>
      <c r="HN696" s="133"/>
      <c r="HO696" s="133"/>
      <c r="HP696" s="133"/>
      <c r="HQ696" s="133"/>
      <c r="HR696" s="133"/>
      <c r="HS696" s="133"/>
      <c r="HT696" s="133"/>
      <c r="HU696" s="133"/>
      <c r="HV696" s="133"/>
      <c r="HW696" s="133"/>
      <c r="HX696" s="133"/>
      <c r="HY696" s="133"/>
      <c r="HZ696" s="133"/>
      <c r="IA696" s="133"/>
      <c r="IB696" s="133"/>
      <c r="IC696" s="133"/>
      <c r="ID696" s="133"/>
      <c r="IE696" s="133"/>
      <c r="IF696" s="133"/>
      <c r="IG696" s="133"/>
      <c r="IH696" s="133"/>
      <c r="II696" s="133"/>
      <c r="IJ696" s="133"/>
      <c r="IK696" s="133"/>
      <c r="IL696" s="133"/>
      <c r="IM696" s="133"/>
      <c r="IN696" s="133"/>
      <c r="IO696" s="133"/>
      <c r="IP696" s="133"/>
      <c r="IQ696" s="133"/>
      <c r="IR696" s="133"/>
      <c r="IS696" s="133"/>
      <c r="IT696" s="133"/>
      <c r="IU696" s="133"/>
      <c r="IV696" s="133"/>
    </row>
    <row r="697" spans="1:256" s="132" customFormat="1" ht="13.8">
      <c r="A697" s="133"/>
      <c r="B697" s="133"/>
      <c r="C697" s="133"/>
      <c r="D697" s="133"/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GE697" s="133"/>
      <c r="GF697" s="133"/>
      <c r="GG697" s="133"/>
      <c r="GH697" s="133"/>
      <c r="GI697" s="133"/>
      <c r="GJ697" s="133"/>
      <c r="GK697" s="133"/>
      <c r="GL697" s="133"/>
      <c r="GM697" s="133"/>
      <c r="GN697" s="133"/>
      <c r="GO697" s="133"/>
      <c r="GP697" s="133"/>
      <c r="GQ697" s="133"/>
      <c r="GR697" s="133"/>
      <c r="GS697" s="133"/>
      <c r="GT697" s="133"/>
      <c r="GU697" s="133"/>
      <c r="GV697" s="133"/>
      <c r="GW697" s="133"/>
      <c r="GX697" s="133"/>
      <c r="GY697" s="133"/>
      <c r="GZ697" s="133"/>
      <c r="HA697" s="133"/>
      <c r="HB697" s="133"/>
      <c r="HC697" s="133"/>
      <c r="HD697" s="133"/>
      <c r="HE697" s="133"/>
      <c r="HF697" s="133"/>
      <c r="HG697" s="133"/>
      <c r="HH697" s="133"/>
      <c r="HI697" s="133"/>
      <c r="HJ697" s="133"/>
      <c r="HK697" s="133"/>
      <c r="HL697" s="133"/>
      <c r="HM697" s="133"/>
      <c r="HN697" s="133"/>
      <c r="HO697" s="133"/>
      <c r="HP697" s="133"/>
      <c r="HQ697" s="133"/>
      <c r="HR697" s="133"/>
      <c r="HS697" s="133"/>
      <c r="HT697" s="133"/>
      <c r="HU697" s="133"/>
      <c r="HV697" s="133"/>
      <c r="HW697" s="133"/>
      <c r="HX697" s="133"/>
      <c r="HY697" s="133"/>
      <c r="HZ697" s="133"/>
      <c r="IA697" s="133"/>
      <c r="IB697" s="133"/>
      <c r="IC697" s="133"/>
      <c r="ID697" s="133"/>
      <c r="IE697" s="133"/>
      <c r="IF697" s="133"/>
      <c r="IG697" s="133"/>
      <c r="IH697" s="133"/>
      <c r="II697" s="133"/>
      <c r="IJ697" s="133"/>
      <c r="IK697" s="133"/>
      <c r="IL697" s="133"/>
      <c r="IM697" s="133"/>
      <c r="IN697" s="133"/>
      <c r="IO697" s="133"/>
      <c r="IP697" s="133"/>
      <c r="IQ697" s="133"/>
      <c r="IR697" s="133"/>
      <c r="IS697" s="133"/>
      <c r="IT697" s="133"/>
      <c r="IU697" s="133"/>
      <c r="IV697" s="133"/>
    </row>
    <row r="698" spans="1:256" s="132" customFormat="1" ht="13.8">
      <c r="A698" s="133"/>
      <c r="B698" s="133"/>
      <c r="C698" s="133"/>
      <c r="D698" s="133"/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GE698" s="133"/>
      <c r="GF698" s="133"/>
      <c r="GG698" s="133"/>
      <c r="GH698" s="133"/>
      <c r="GI698" s="133"/>
      <c r="GJ698" s="133"/>
      <c r="GK698" s="133"/>
      <c r="GL698" s="133"/>
      <c r="GM698" s="133"/>
      <c r="GN698" s="133"/>
      <c r="GO698" s="133"/>
      <c r="GP698" s="133"/>
      <c r="GQ698" s="133"/>
      <c r="GR698" s="133"/>
      <c r="GS698" s="133"/>
      <c r="GT698" s="133"/>
      <c r="GU698" s="133"/>
      <c r="GV698" s="133"/>
      <c r="GW698" s="133"/>
      <c r="GX698" s="133"/>
      <c r="GY698" s="133"/>
      <c r="GZ698" s="133"/>
      <c r="HA698" s="133"/>
      <c r="HB698" s="133"/>
      <c r="HC698" s="133"/>
      <c r="HD698" s="133"/>
      <c r="HE698" s="133"/>
      <c r="HF698" s="133"/>
      <c r="HG698" s="133"/>
      <c r="HH698" s="133"/>
      <c r="HI698" s="133"/>
      <c r="HJ698" s="133"/>
      <c r="HK698" s="133"/>
      <c r="HL698" s="133"/>
      <c r="HM698" s="133"/>
      <c r="HN698" s="133"/>
      <c r="HO698" s="133"/>
      <c r="HP698" s="133"/>
      <c r="HQ698" s="133"/>
      <c r="HR698" s="133"/>
      <c r="HS698" s="133"/>
      <c r="HT698" s="133"/>
      <c r="HU698" s="133"/>
      <c r="HV698" s="133"/>
      <c r="HW698" s="133"/>
      <c r="HX698" s="133"/>
      <c r="HY698" s="133"/>
      <c r="HZ698" s="133"/>
      <c r="IA698" s="133"/>
      <c r="IB698" s="133"/>
      <c r="IC698" s="133"/>
      <c r="ID698" s="133"/>
      <c r="IE698" s="133"/>
      <c r="IF698" s="133"/>
      <c r="IG698" s="133"/>
      <c r="IH698" s="133"/>
      <c r="II698" s="133"/>
      <c r="IJ698" s="133"/>
      <c r="IK698" s="133"/>
      <c r="IL698" s="133"/>
      <c r="IM698" s="133"/>
      <c r="IN698" s="133"/>
      <c r="IO698" s="133"/>
      <c r="IP698" s="133"/>
      <c r="IQ698" s="133"/>
      <c r="IR698" s="133"/>
      <c r="IS698" s="133"/>
      <c r="IT698" s="133"/>
      <c r="IU698" s="133"/>
      <c r="IV698" s="133"/>
    </row>
    <row r="699" spans="1:256" s="132" customFormat="1" ht="13.8">
      <c r="A699" s="133"/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GE699" s="133"/>
      <c r="GF699" s="133"/>
      <c r="GG699" s="133"/>
      <c r="GH699" s="133"/>
      <c r="GI699" s="133"/>
      <c r="GJ699" s="133"/>
      <c r="GK699" s="133"/>
      <c r="GL699" s="133"/>
      <c r="GM699" s="133"/>
      <c r="GN699" s="133"/>
      <c r="GO699" s="133"/>
      <c r="GP699" s="133"/>
      <c r="GQ699" s="133"/>
      <c r="GR699" s="133"/>
      <c r="GS699" s="133"/>
      <c r="GT699" s="133"/>
      <c r="GU699" s="133"/>
      <c r="GV699" s="133"/>
      <c r="GW699" s="133"/>
      <c r="GX699" s="133"/>
      <c r="GY699" s="133"/>
      <c r="GZ699" s="133"/>
      <c r="HA699" s="133"/>
      <c r="HB699" s="133"/>
      <c r="HC699" s="133"/>
      <c r="HD699" s="133"/>
      <c r="HE699" s="133"/>
      <c r="HF699" s="133"/>
      <c r="HG699" s="133"/>
      <c r="HH699" s="133"/>
      <c r="HI699" s="133"/>
      <c r="HJ699" s="133"/>
      <c r="HK699" s="133"/>
      <c r="HL699" s="133"/>
      <c r="HM699" s="133"/>
      <c r="HN699" s="133"/>
      <c r="HO699" s="133"/>
      <c r="HP699" s="133"/>
      <c r="HQ699" s="133"/>
      <c r="HR699" s="133"/>
      <c r="HS699" s="133"/>
      <c r="HT699" s="133"/>
      <c r="HU699" s="133"/>
      <c r="HV699" s="133"/>
      <c r="HW699" s="133"/>
      <c r="HX699" s="133"/>
      <c r="HY699" s="133"/>
      <c r="HZ699" s="133"/>
      <c r="IA699" s="133"/>
      <c r="IB699" s="133"/>
      <c r="IC699" s="133"/>
      <c r="ID699" s="133"/>
      <c r="IE699" s="133"/>
      <c r="IF699" s="133"/>
      <c r="IG699" s="133"/>
      <c r="IH699" s="133"/>
      <c r="II699" s="133"/>
      <c r="IJ699" s="133"/>
      <c r="IK699" s="133"/>
      <c r="IL699" s="133"/>
      <c r="IM699" s="133"/>
      <c r="IN699" s="133"/>
      <c r="IO699" s="133"/>
      <c r="IP699" s="133"/>
      <c r="IQ699" s="133"/>
      <c r="IR699" s="133"/>
      <c r="IS699" s="133"/>
      <c r="IT699" s="133"/>
      <c r="IU699" s="133"/>
      <c r="IV699" s="133"/>
    </row>
    <row r="700" spans="1:256" s="132" customFormat="1" ht="13.8">
      <c r="A700" s="133"/>
      <c r="B700" s="133"/>
      <c r="C700" s="133"/>
      <c r="D700" s="133"/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GE700" s="133"/>
      <c r="GF700" s="133"/>
      <c r="GG700" s="133"/>
      <c r="GH700" s="133"/>
      <c r="GI700" s="133"/>
      <c r="GJ700" s="133"/>
      <c r="GK700" s="133"/>
      <c r="GL700" s="133"/>
      <c r="GM700" s="133"/>
      <c r="GN700" s="133"/>
      <c r="GO700" s="133"/>
      <c r="GP700" s="133"/>
      <c r="GQ700" s="133"/>
      <c r="GR700" s="133"/>
      <c r="GS700" s="133"/>
      <c r="GT700" s="133"/>
      <c r="GU700" s="133"/>
      <c r="GV700" s="133"/>
      <c r="GW700" s="133"/>
      <c r="GX700" s="133"/>
      <c r="GY700" s="133"/>
      <c r="GZ700" s="133"/>
      <c r="HA700" s="133"/>
      <c r="HB700" s="133"/>
      <c r="HC700" s="133"/>
      <c r="HD700" s="133"/>
      <c r="HE700" s="133"/>
      <c r="HF700" s="133"/>
      <c r="HG700" s="133"/>
      <c r="HH700" s="133"/>
      <c r="HI700" s="133"/>
      <c r="HJ700" s="133"/>
      <c r="HK700" s="133"/>
      <c r="HL700" s="133"/>
      <c r="HM700" s="133"/>
      <c r="HN700" s="133"/>
      <c r="HO700" s="133"/>
      <c r="HP700" s="133"/>
      <c r="HQ700" s="133"/>
      <c r="HR700" s="133"/>
      <c r="HS700" s="133"/>
      <c r="HT700" s="133"/>
      <c r="HU700" s="133"/>
      <c r="HV700" s="133"/>
      <c r="HW700" s="133"/>
      <c r="HX700" s="133"/>
      <c r="HY700" s="133"/>
      <c r="HZ700" s="133"/>
      <c r="IA700" s="133"/>
      <c r="IB700" s="133"/>
      <c r="IC700" s="133"/>
      <c r="ID700" s="133"/>
      <c r="IE700" s="133"/>
      <c r="IF700" s="133"/>
      <c r="IG700" s="133"/>
      <c r="IH700" s="133"/>
      <c r="II700" s="133"/>
      <c r="IJ700" s="133"/>
      <c r="IK700" s="133"/>
      <c r="IL700" s="133"/>
      <c r="IM700" s="133"/>
      <c r="IN700" s="133"/>
      <c r="IO700" s="133"/>
      <c r="IP700" s="133"/>
      <c r="IQ700" s="133"/>
      <c r="IR700" s="133"/>
      <c r="IS700" s="133"/>
      <c r="IT700" s="133"/>
      <c r="IU700" s="133"/>
      <c r="IV700" s="133"/>
    </row>
    <row r="701" spans="1:256" s="132" customFormat="1" ht="13.8">
      <c r="A701" s="133"/>
      <c r="B701" s="133"/>
      <c r="C701" s="133"/>
      <c r="D701" s="133"/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GE701" s="133"/>
      <c r="GF701" s="133"/>
      <c r="GG701" s="133"/>
      <c r="GH701" s="133"/>
      <c r="GI701" s="133"/>
      <c r="GJ701" s="133"/>
      <c r="GK701" s="133"/>
      <c r="GL701" s="133"/>
      <c r="GM701" s="133"/>
      <c r="GN701" s="133"/>
      <c r="GO701" s="133"/>
      <c r="GP701" s="133"/>
      <c r="GQ701" s="133"/>
      <c r="GR701" s="133"/>
      <c r="GS701" s="133"/>
      <c r="GT701" s="133"/>
      <c r="GU701" s="133"/>
      <c r="GV701" s="133"/>
      <c r="GW701" s="133"/>
      <c r="GX701" s="133"/>
      <c r="GY701" s="133"/>
      <c r="GZ701" s="133"/>
      <c r="HA701" s="133"/>
      <c r="HB701" s="133"/>
      <c r="HC701" s="133"/>
      <c r="HD701" s="133"/>
      <c r="HE701" s="133"/>
      <c r="HF701" s="133"/>
      <c r="HG701" s="133"/>
      <c r="HH701" s="133"/>
      <c r="HI701" s="133"/>
      <c r="HJ701" s="133"/>
      <c r="HK701" s="133"/>
      <c r="HL701" s="133"/>
      <c r="HM701" s="133"/>
      <c r="HN701" s="133"/>
      <c r="HO701" s="133"/>
      <c r="HP701" s="133"/>
      <c r="HQ701" s="133"/>
      <c r="HR701" s="133"/>
      <c r="HS701" s="133"/>
      <c r="HT701" s="133"/>
      <c r="HU701" s="133"/>
      <c r="HV701" s="133"/>
      <c r="HW701" s="133"/>
      <c r="HX701" s="133"/>
      <c r="HY701" s="133"/>
      <c r="HZ701" s="133"/>
      <c r="IA701" s="133"/>
      <c r="IB701" s="133"/>
      <c r="IC701" s="133"/>
      <c r="ID701" s="133"/>
      <c r="IE701" s="133"/>
      <c r="IF701" s="133"/>
      <c r="IG701" s="133"/>
      <c r="IH701" s="133"/>
      <c r="II701" s="133"/>
      <c r="IJ701" s="133"/>
      <c r="IK701" s="133"/>
      <c r="IL701" s="133"/>
      <c r="IM701" s="133"/>
      <c r="IN701" s="133"/>
      <c r="IO701" s="133"/>
      <c r="IP701" s="133"/>
      <c r="IQ701" s="133"/>
      <c r="IR701" s="133"/>
      <c r="IS701" s="133"/>
      <c r="IT701" s="133"/>
      <c r="IU701" s="133"/>
      <c r="IV701" s="133"/>
    </row>
    <row r="702" spans="1:256" s="132" customFormat="1" ht="13.8">
      <c r="A702" s="133"/>
      <c r="B702" s="133"/>
      <c r="C702" s="133"/>
      <c r="D702" s="133"/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GE702" s="133"/>
      <c r="GF702" s="133"/>
      <c r="GG702" s="133"/>
      <c r="GH702" s="133"/>
      <c r="GI702" s="133"/>
      <c r="GJ702" s="133"/>
      <c r="GK702" s="133"/>
      <c r="GL702" s="133"/>
      <c r="GM702" s="133"/>
      <c r="GN702" s="133"/>
      <c r="GO702" s="133"/>
      <c r="GP702" s="133"/>
      <c r="GQ702" s="133"/>
      <c r="GR702" s="133"/>
      <c r="GS702" s="133"/>
      <c r="GT702" s="133"/>
      <c r="GU702" s="133"/>
      <c r="GV702" s="133"/>
      <c r="GW702" s="133"/>
      <c r="GX702" s="133"/>
      <c r="GY702" s="133"/>
      <c r="GZ702" s="133"/>
      <c r="HA702" s="133"/>
      <c r="HB702" s="133"/>
      <c r="HC702" s="133"/>
      <c r="HD702" s="133"/>
      <c r="HE702" s="133"/>
      <c r="HF702" s="133"/>
      <c r="HG702" s="133"/>
      <c r="HH702" s="133"/>
      <c r="HI702" s="133"/>
      <c r="HJ702" s="133"/>
      <c r="HK702" s="133"/>
      <c r="HL702" s="133"/>
      <c r="HM702" s="133"/>
      <c r="HN702" s="133"/>
      <c r="HO702" s="133"/>
      <c r="HP702" s="133"/>
      <c r="HQ702" s="133"/>
      <c r="HR702" s="133"/>
      <c r="HS702" s="133"/>
      <c r="HT702" s="133"/>
      <c r="HU702" s="133"/>
      <c r="HV702" s="133"/>
      <c r="HW702" s="133"/>
      <c r="HX702" s="133"/>
      <c r="HY702" s="133"/>
      <c r="HZ702" s="133"/>
      <c r="IA702" s="133"/>
      <c r="IB702" s="133"/>
      <c r="IC702" s="133"/>
      <c r="ID702" s="133"/>
      <c r="IE702" s="133"/>
      <c r="IF702" s="133"/>
      <c r="IG702" s="133"/>
      <c r="IH702" s="133"/>
      <c r="II702" s="133"/>
      <c r="IJ702" s="133"/>
      <c r="IK702" s="133"/>
      <c r="IL702" s="133"/>
      <c r="IM702" s="133"/>
      <c r="IN702" s="133"/>
      <c r="IO702" s="133"/>
      <c r="IP702" s="133"/>
      <c r="IQ702" s="133"/>
      <c r="IR702" s="133"/>
      <c r="IS702" s="133"/>
      <c r="IT702" s="133"/>
      <c r="IU702" s="133"/>
      <c r="IV702" s="133"/>
    </row>
    <row r="703" spans="1:256" s="132" customFormat="1" ht="13.8">
      <c r="A703" s="133"/>
      <c r="B703" s="133"/>
      <c r="C703" s="133"/>
      <c r="D703" s="133"/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GE703" s="133"/>
      <c r="GF703" s="133"/>
      <c r="GG703" s="133"/>
      <c r="GH703" s="133"/>
      <c r="GI703" s="133"/>
      <c r="GJ703" s="133"/>
      <c r="GK703" s="133"/>
      <c r="GL703" s="133"/>
      <c r="GM703" s="133"/>
      <c r="GN703" s="133"/>
      <c r="GO703" s="133"/>
      <c r="GP703" s="133"/>
      <c r="GQ703" s="133"/>
      <c r="GR703" s="133"/>
      <c r="GS703" s="133"/>
      <c r="GT703" s="133"/>
      <c r="GU703" s="133"/>
      <c r="GV703" s="133"/>
      <c r="GW703" s="133"/>
      <c r="GX703" s="133"/>
      <c r="GY703" s="133"/>
      <c r="GZ703" s="133"/>
      <c r="HA703" s="133"/>
      <c r="HB703" s="133"/>
      <c r="HC703" s="133"/>
      <c r="HD703" s="133"/>
      <c r="HE703" s="133"/>
      <c r="HF703" s="133"/>
      <c r="HG703" s="133"/>
      <c r="HH703" s="133"/>
      <c r="HI703" s="133"/>
      <c r="HJ703" s="133"/>
      <c r="HK703" s="133"/>
      <c r="HL703" s="133"/>
      <c r="HM703" s="133"/>
      <c r="HN703" s="133"/>
      <c r="HO703" s="133"/>
      <c r="HP703" s="133"/>
      <c r="HQ703" s="133"/>
      <c r="HR703" s="133"/>
      <c r="HS703" s="133"/>
      <c r="HT703" s="133"/>
      <c r="HU703" s="133"/>
      <c r="HV703" s="133"/>
      <c r="HW703" s="133"/>
      <c r="HX703" s="133"/>
      <c r="HY703" s="133"/>
      <c r="HZ703" s="133"/>
      <c r="IA703" s="133"/>
      <c r="IB703" s="133"/>
      <c r="IC703" s="133"/>
      <c r="ID703" s="133"/>
      <c r="IE703" s="133"/>
      <c r="IF703" s="133"/>
      <c r="IG703" s="133"/>
      <c r="IH703" s="133"/>
      <c r="II703" s="133"/>
      <c r="IJ703" s="133"/>
      <c r="IK703" s="133"/>
      <c r="IL703" s="133"/>
      <c r="IM703" s="133"/>
      <c r="IN703" s="133"/>
      <c r="IO703" s="133"/>
      <c r="IP703" s="133"/>
      <c r="IQ703" s="133"/>
      <c r="IR703" s="133"/>
      <c r="IS703" s="133"/>
      <c r="IT703" s="133"/>
      <c r="IU703" s="133"/>
      <c r="IV703" s="133"/>
    </row>
    <row r="704" spans="1:256" s="132" customFormat="1" ht="13.8">
      <c r="A704" s="133"/>
      <c r="B704" s="133"/>
      <c r="C704" s="133"/>
      <c r="D704" s="133"/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GE704" s="133"/>
      <c r="GF704" s="133"/>
      <c r="GG704" s="133"/>
      <c r="GH704" s="133"/>
      <c r="GI704" s="133"/>
      <c r="GJ704" s="133"/>
      <c r="GK704" s="133"/>
      <c r="GL704" s="133"/>
      <c r="GM704" s="133"/>
      <c r="GN704" s="133"/>
      <c r="GO704" s="133"/>
      <c r="GP704" s="133"/>
      <c r="GQ704" s="133"/>
      <c r="GR704" s="133"/>
      <c r="GS704" s="133"/>
      <c r="GT704" s="133"/>
      <c r="GU704" s="133"/>
      <c r="GV704" s="133"/>
      <c r="GW704" s="133"/>
      <c r="GX704" s="133"/>
      <c r="GY704" s="133"/>
      <c r="GZ704" s="133"/>
      <c r="HA704" s="133"/>
      <c r="HB704" s="133"/>
      <c r="HC704" s="133"/>
      <c r="HD704" s="133"/>
      <c r="HE704" s="133"/>
      <c r="HF704" s="133"/>
      <c r="HG704" s="133"/>
      <c r="HH704" s="133"/>
      <c r="HI704" s="133"/>
      <c r="HJ704" s="133"/>
      <c r="HK704" s="133"/>
      <c r="HL704" s="133"/>
      <c r="HM704" s="133"/>
      <c r="HN704" s="133"/>
      <c r="HO704" s="133"/>
      <c r="HP704" s="133"/>
      <c r="HQ704" s="133"/>
      <c r="HR704" s="133"/>
      <c r="HS704" s="133"/>
      <c r="HT704" s="133"/>
      <c r="HU704" s="133"/>
      <c r="HV704" s="133"/>
      <c r="HW704" s="133"/>
      <c r="HX704" s="133"/>
      <c r="HY704" s="133"/>
      <c r="HZ704" s="133"/>
      <c r="IA704" s="133"/>
      <c r="IB704" s="133"/>
      <c r="IC704" s="133"/>
      <c r="ID704" s="133"/>
      <c r="IE704" s="133"/>
      <c r="IF704" s="133"/>
      <c r="IG704" s="133"/>
      <c r="IH704" s="133"/>
      <c r="II704" s="133"/>
      <c r="IJ704" s="133"/>
      <c r="IK704" s="133"/>
      <c r="IL704" s="133"/>
      <c r="IM704" s="133"/>
      <c r="IN704" s="133"/>
      <c r="IO704" s="133"/>
      <c r="IP704" s="133"/>
      <c r="IQ704" s="133"/>
      <c r="IR704" s="133"/>
      <c r="IS704" s="133"/>
      <c r="IT704" s="133"/>
      <c r="IU704" s="133"/>
      <c r="IV704" s="133"/>
    </row>
    <row r="705" spans="1:256" s="132" customFormat="1" ht="13.8">
      <c r="A705" s="133"/>
      <c r="B705" s="133"/>
      <c r="C705" s="133"/>
      <c r="D705" s="133"/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GE705" s="133"/>
      <c r="GF705" s="133"/>
      <c r="GG705" s="133"/>
      <c r="GH705" s="133"/>
      <c r="GI705" s="133"/>
      <c r="GJ705" s="133"/>
      <c r="GK705" s="133"/>
      <c r="GL705" s="133"/>
      <c r="GM705" s="133"/>
      <c r="GN705" s="133"/>
      <c r="GO705" s="133"/>
      <c r="GP705" s="133"/>
      <c r="GQ705" s="133"/>
      <c r="GR705" s="133"/>
      <c r="GS705" s="133"/>
      <c r="GT705" s="133"/>
      <c r="GU705" s="133"/>
      <c r="GV705" s="133"/>
      <c r="GW705" s="133"/>
      <c r="GX705" s="133"/>
      <c r="GY705" s="133"/>
      <c r="GZ705" s="133"/>
      <c r="HA705" s="133"/>
      <c r="HB705" s="133"/>
      <c r="HC705" s="133"/>
      <c r="HD705" s="133"/>
      <c r="HE705" s="133"/>
      <c r="HF705" s="133"/>
      <c r="HG705" s="133"/>
      <c r="HH705" s="133"/>
      <c r="HI705" s="133"/>
      <c r="HJ705" s="133"/>
      <c r="HK705" s="133"/>
      <c r="HL705" s="133"/>
      <c r="HM705" s="133"/>
      <c r="HN705" s="133"/>
      <c r="HO705" s="133"/>
      <c r="HP705" s="133"/>
      <c r="HQ705" s="133"/>
      <c r="HR705" s="133"/>
      <c r="HS705" s="133"/>
      <c r="HT705" s="133"/>
      <c r="HU705" s="133"/>
      <c r="HV705" s="133"/>
      <c r="HW705" s="133"/>
      <c r="HX705" s="133"/>
      <c r="HY705" s="133"/>
      <c r="HZ705" s="133"/>
      <c r="IA705" s="133"/>
      <c r="IB705" s="133"/>
      <c r="IC705" s="133"/>
      <c r="ID705" s="133"/>
      <c r="IE705" s="133"/>
      <c r="IF705" s="133"/>
      <c r="IG705" s="133"/>
      <c r="IH705" s="133"/>
      <c r="II705" s="133"/>
      <c r="IJ705" s="133"/>
      <c r="IK705" s="133"/>
      <c r="IL705" s="133"/>
      <c r="IM705" s="133"/>
      <c r="IN705" s="133"/>
      <c r="IO705" s="133"/>
      <c r="IP705" s="133"/>
      <c r="IQ705" s="133"/>
      <c r="IR705" s="133"/>
      <c r="IS705" s="133"/>
      <c r="IT705" s="133"/>
      <c r="IU705" s="133"/>
      <c r="IV705" s="133"/>
    </row>
    <row r="706" spans="1:256" s="132" customFormat="1" ht="13.8">
      <c r="A706" s="133"/>
      <c r="B706" s="133"/>
      <c r="C706" s="133"/>
      <c r="D706" s="133"/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GE706" s="133"/>
      <c r="GF706" s="133"/>
      <c r="GG706" s="133"/>
      <c r="GH706" s="133"/>
      <c r="GI706" s="133"/>
      <c r="GJ706" s="133"/>
      <c r="GK706" s="133"/>
      <c r="GL706" s="133"/>
      <c r="GM706" s="133"/>
      <c r="GN706" s="133"/>
      <c r="GO706" s="133"/>
      <c r="GP706" s="133"/>
      <c r="GQ706" s="133"/>
      <c r="GR706" s="133"/>
      <c r="GS706" s="133"/>
      <c r="GT706" s="133"/>
      <c r="GU706" s="133"/>
      <c r="GV706" s="133"/>
      <c r="GW706" s="133"/>
      <c r="GX706" s="133"/>
      <c r="GY706" s="133"/>
      <c r="GZ706" s="133"/>
      <c r="HA706" s="133"/>
      <c r="HB706" s="133"/>
      <c r="HC706" s="133"/>
      <c r="HD706" s="133"/>
      <c r="HE706" s="133"/>
      <c r="HF706" s="133"/>
      <c r="HG706" s="133"/>
      <c r="HH706" s="133"/>
      <c r="HI706" s="133"/>
      <c r="HJ706" s="133"/>
      <c r="HK706" s="133"/>
      <c r="HL706" s="133"/>
      <c r="HM706" s="133"/>
      <c r="HN706" s="133"/>
      <c r="HO706" s="133"/>
      <c r="HP706" s="133"/>
      <c r="HQ706" s="133"/>
      <c r="HR706" s="133"/>
      <c r="HS706" s="133"/>
      <c r="HT706" s="133"/>
      <c r="HU706" s="133"/>
      <c r="HV706" s="133"/>
      <c r="HW706" s="133"/>
      <c r="HX706" s="133"/>
      <c r="HY706" s="133"/>
      <c r="HZ706" s="133"/>
      <c r="IA706" s="133"/>
      <c r="IB706" s="133"/>
      <c r="IC706" s="133"/>
      <c r="ID706" s="133"/>
      <c r="IE706" s="133"/>
      <c r="IF706" s="133"/>
      <c r="IG706" s="133"/>
      <c r="IH706" s="133"/>
      <c r="II706" s="133"/>
      <c r="IJ706" s="133"/>
      <c r="IK706" s="133"/>
      <c r="IL706" s="133"/>
      <c r="IM706" s="133"/>
      <c r="IN706" s="133"/>
      <c r="IO706" s="133"/>
      <c r="IP706" s="133"/>
      <c r="IQ706" s="133"/>
      <c r="IR706" s="133"/>
      <c r="IS706" s="133"/>
      <c r="IT706" s="133"/>
      <c r="IU706" s="133"/>
      <c r="IV706" s="133"/>
    </row>
    <row r="707" spans="1:256" s="132" customFormat="1" ht="13.8">
      <c r="A707" s="133"/>
      <c r="B707" s="133"/>
      <c r="C707" s="133"/>
      <c r="D707" s="133"/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GE707" s="133"/>
      <c r="GF707" s="133"/>
      <c r="GG707" s="133"/>
      <c r="GH707" s="133"/>
      <c r="GI707" s="133"/>
      <c r="GJ707" s="133"/>
      <c r="GK707" s="133"/>
      <c r="GL707" s="133"/>
      <c r="GM707" s="133"/>
      <c r="GN707" s="133"/>
      <c r="GO707" s="133"/>
      <c r="GP707" s="133"/>
      <c r="GQ707" s="133"/>
      <c r="GR707" s="133"/>
      <c r="GS707" s="133"/>
      <c r="GT707" s="133"/>
      <c r="GU707" s="133"/>
      <c r="GV707" s="133"/>
      <c r="GW707" s="133"/>
      <c r="GX707" s="133"/>
      <c r="GY707" s="133"/>
      <c r="GZ707" s="133"/>
      <c r="HA707" s="133"/>
      <c r="HB707" s="133"/>
      <c r="HC707" s="133"/>
      <c r="HD707" s="133"/>
      <c r="HE707" s="133"/>
      <c r="HF707" s="133"/>
      <c r="HG707" s="133"/>
      <c r="HH707" s="133"/>
      <c r="HI707" s="133"/>
      <c r="HJ707" s="133"/>
      <c r="HK707" s="133"/>
      <c r="HL707" s="133"/>
      <c r="HM707" s="133"/>
      <c r="HN707" s="133"/>
      <c r="HO707" s="133"/>
      <c r="HP707" s="133"/>
      <c r="HQ707" s="133"/>
      <c r="HR707" s="133"/>
      <c r="HS707" s="133"/>
      <c r="HT707" s="133"/>
      <c r="HU707" s="133"/>
      <c r="HV707" s="133"/>
      <c r="HW707" s="133"/>
      <c r="HX707" s="133"/>
      <c r="HY707" s="133"/>
      <c r="HZ707" s="133"/>
      <c r="IA707" s="133"/>
      <c r="IB707" s="133"/>
      <c r="IC707" s="133"/>
      <c r="ID707" s="133"/>
      <c r="IE707" s="133"/>
      <c r="IF707" s="133"/>
      <c r="IG707" s="133"/>
      <c r="IH707" s="133"/>
      <c r="II707" s="133"/>
      <c r="IJ707" s="133"/>
      <c r="IK707" s="133"/>
      <c r="IL707" s="133"/>
      <c r="IM707" s="133"/>
      <c r="IN707" s="133"/>
      <c r="IO707" s="133"/>
      <c r="IP707" s="133"/>
      <c r="IQ707" s="133"/>
      <c r="IR707" s="133"/>
      <c r="IS707" s="133"/>
      <c r="IT707" s="133"/>
      <c r="IU707" s="133"/>
      <c r="IV707" s="133"/>
    </row>
    <row r="708" spans="1:256" s="132" customFormat="1" ht="13.8">
      <c r="A708" s="133"/>
      <c r="B708" s="133"/>
      <c r="C708" s="133"/>
      <c r="D708" s="133"/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GE708" s="133"/>
      <c r="GF708" s="133"/>
      <c r="GG708" s="133"/>
      <c r="GH708" s="133"/>
      <c r="GI708" s="133"/>
      <c r="GJ708" s="133"/>
      <c r="GK708" s="133"/>
      <c r="GL708" s="133"/>
      <c r="GM708" s="133"/>
      <c r="GN708" s="133"/>
      <c r="GO708" s="133"/>
      <c r="GP708" s="133"/>
      <c r="GQ708" s="133"/>
      <c r="GR708" s="133"/>
      <c r="GS708" s="133"/>
      <c r="GT708" s="133"/>
      <c r="GU708" s="133"/>
      <c r="GV708" s="133"/>
      <c r="GW708" s="133"/>
      <c r="GX708" s="133"/>
      <c r="GY708" s="133"/>
      <c r="GZ708" s="133"/>
      <c r="HA708" s="133"/>
      <c r="HB708" s="133"/>
      <c r="HC708" s="133"/>
      <c r="HD708" s="133"/>
      <c r="HE708" s="133"/>
      <c r="HF708" s="133"/>
      <c r="HG708" s="133"/>
      <c r="HH708" s="133"/>
      <c r="HI708" s="133"/>
      <c r="HJ708" s="133"/>
      <c r="HK708" s="133"/>
      <c r="HL708" s="133"/>
      <c r="HM708" s="133"/>
      <c r="HN708" s="133"/>
      <c r="HO708" s="133"/>
      <c r="HP708" s="133"/>
      <c r="HQ708" s="133"/>
      <c r="HR708" s="133"/>
      <c r="HS708" s="133"/>
      <c r="HT708" s="133"/>
      <c r="HU708" s="133"/>
      <c r="HV708" s="133"/>
      <c r="HW708" s="133"/>
      <c r="HX708" s="133"/>
      <c r="HY708" s="133"/>
      <c r="HZ708" s="133"/>
      <c r="IA708" s="133"/>
      <c r="IB708" s="133"/>
      <c r="IC708" s="133"/>
      <c r="ID708" s="133"/>
      <c r="IE708" s="133"/>
      <c r="IF708" s="133"/>
      <c r="IG708" s="133"/>
      <c r="IH708" s="133"/>
      <c r="II708" s="133"/>
      <c r="IJ708" s="133"/>
      <c r="IK708" s="133"/>
      <c r="IL708" s="133"/>
      <c r="IM708" s="133"/>
      <c r="IN708" s="133"/>
      <c r="IO708" s="133"/>
      <c r="IP708" s="133"/>
      <c r="IQ708" s="133"/>
      <c r="IR708" s="133"/>
      <c r="IS708" s="133"/>
      <c r="IT708" s="133"/>
      <c r="IU708" s="133"/>
      <c r="IV708" s="133"/>
    </row>
    <row r="709" spans="1:256" s="132" customFormat="1" ht="13.8">
      <c r="A709" s="133"/>
      <c r="B709" s="133"/>
      <c r="C709" s="133"/>
      <c r="D709" s="133"/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GE709" s="133"/>
      <c r="GF709" s="133"/>
      <c r="GG709" s="133"/>
      <c r="GH709" s="133"/>
      <c r="GI709" s="133"/>
      <c r="GJ709" s="133"/>
      <c r="GK709" s="133"/>
      <c r="GL709" s="133"/>
      <c r="GM709" s="133"/>
      <c r="GN709" s="133"/>
      <c r="GO709" s="133"/>
      <c r="GP709" s="133"/>
      <c r="GQ709" s="133"/>
      <c r="GR709" s="133"/>
      <c r="GS709" s="133"/>
      <c r="GT709" s="133"/>
      <c r="GU709" s="133"/>
      <c r="GV709" s="133"/>
      <c r="GW709" s="133"/>
      <c r="GX709" s="133"/>
      <c r="GY709" s="133"/>
      <c r="GZ709" s="133"/>
      <c r="HA709" s="133"/>
      <c r="HB709" s="133"/>
      <c r="HC709" s="133"/>
      <c r="HD709" s="133"/>
      <c r="HE709" s="133"/>
      <c r="HF709" s="133"/>
      <c r="HG709" s="133"/>
      <c r="HH709" s="133"/>
      <c r="HI709" s="133"/>
      <c r="HJ709" s="133"/>
      <c r="HK709" s="133"/>
      <c r="HL709" s="133"/>
      <c r="HM709" s="133"/>
      <c r="HN709" s="133"/>
      <c r="HO709" s="133"/>
      <c r="HP709" s="133"/>
      <c r="HQ709" s="133"/>
      <c r="HR709" s="133"/>
      <c r="HS709" s="133"/>
      <c r="HT709" s="133"/>
      <c r="HU709" s="133"/>
      <c r="HV709" s="133"/>
      <c r="HW709" s="133"/>
      <c r="HX709" s="133"/>
      <c r="HY709" s="133"/>
      <c r="HZ709" s="133"/>
      <c r="IA709" s="133"/>
      <c r="IB709" s="133"/>
      <c r="IC709" s="133"/>
      <c r="ID709" s="133"/>
      <c r="IE709" s="133"/>
      <c r="IF709" s="133"/>
      <c r="IG709" s="133"/>
      <c r="IH709" s="133"/>
      <c r="II709" s="133"/>
      <c r="IJ709" s="133"/>
      <c r="IK709" s="133"/>
      <c r="IL709" s="133"/>
      <c r="IM709" s="133"/>
      <c r="IN709" s="133"/>
      <c r="IO709" s="133"/>
      <c r="IP709" s="133"/>
      <c r="IQ709" s="133"/>
      <c r="IR709" s="133"/>
      <c r="IS709" s="133"/>
      <c r="IT709" s="133"/>
      <c r="IU709" s="133"/>
      <c r="IV709" s="133"/>
    </row>
    <row r="710" spans="1:256" s="132" customFormat="1" ht="13.8">
      <c r="A710" s="133"/>
      <c r="B710" s="133"/>
      <c r="C710" s="133"/>
      <c r="D710" s="133"/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GE710" s="133"/>
      <c r="GF710" s="133"/>
      <c r="GG710" s="133"/>
      <c r="GH710" s="133"/>
      <c r="GI710" s="133"/>
      <c r="GJ710" s="133"/>
      <c r="GK710" s="133"/>
      <c r="GL710" s="133"/>
      <c r="GM710" s="133"/>
      <c r="GN710" s="133"/>
      <c r="GO710" s="133"/>
      <c r="GP710" s="133"/>
      <c r="GQ710" s="133"/>
      <c r="GR710" s="133"/>
      <c r="GS710" s="133"/>
      <c r="GT710" s="133"/>
      <c r="GU710" s="133"/>
      <c r="GV710" s="133"/>
      <c r="GW710" s="133"/>
      <c r="GX710" s="133"/>
      <c r="GY710" s="133"/>
      <c r="GZ710" s="133"/>
      <c r="HA710" s="133"/>
      <c r="HB710" s="133"/>
      <c r="HC710" s="133"/>
      <c r="HD710" s="133"/>
      <c r="HE710" s="133"/>
      <c r="HF710" s="133"/>
      <c r="HG710" s="133"/>
      <c r="HH710" s="133"/>
      <c r="HI710" s="133"/>
      <c r="HJ710" s="133"/>
      <c r="HK710" s="133"/>
      <c r="HL710" s="133"/>
      <c r="HM710" s="133"/>
      <c r="HN710" s="133"/>
      <c r="HO710" s="133"/>
      <c r="HP710" s="133"/>
      <c r="HQ710" s="133"/>
      <c r="HR710" s="133"/>
      <c r="HS710" s="133"/>
      <c r="HT710" s="133"/>
      <c r="HU710" s="133"/>
      <c r="HV710" s="133"/>
      <c r="HW710" s="133"/>
      <c r="HX710" s="133"/>
      <c r="HY710" s="133"/>
      <c r="HZ710" s="133"/>
      <c r="IA710" s="133"/>
      <c r="IB710" s="133"/>
      <c r="IC710" s="133"/>
      <c r="ID710" s="133"/>
      <c r="IE710" s="133"/>
      <c r="IF710" s="133"/>
      <c r="IG710" s="133"/>
      <c r="IH710" s="133"/>
      <c r="II710" s="133"/>
      <c r="IJ710" s="133"/>
      <c r="IK710" s="133"/>
      <c r="IL710" s="133"/>
      <c r="IM710" s="133"/>
      <c r="IN710" s="133"/>
      <c r="IO710" s="133"/>
      <c r="IP710" s="133"/>
      <c r="IQ710" s="133"/>
      <c r="IR710" s="133"/>
      <c r="IS710" s="133"/>
      <c r="IT710" s="133"/>
      <c r="IU710" s="133"/>
      <c r="IV710" s="133"/>
    </row>
    <row r="711" spans="1:256" s="132" customFormat="1" ht="13.8">
      <c r="A711" s="133"/>
      <c r="B711" s="133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GE711" s="133"/>
      <c r="GF711" s="133"/>
      <c r="GG711" s="133"/>
      <c r="GH711" s="133"/>
      <c r="GI711" s="133"/>
      <c r="GJ711" s="133"/>
      <c r="GK711" s="133"/>
      <c r="GL711" s="133"/>
      <c r="GM711" s="133"/>
      <c r="GN711" s="133"/>
      <c r="GO711" s="133"/>
      <c r="GP711" s="133"/>
      <c r="GQ711" s="133"/>
      <c r="GR711" s="133"/>
      <c r="GS711" s="133"/>
      <c r="GT711" s="133"/>
      <c r="GU711" s="133"/>
      <c r="GV711" s="133"/>
      <c r="GW711" s="133"/>
      <c r="GX711" s="133"/>
      <c r="GY711" s="133"/>
      <c r="GZ711" s="133"/>
      <c r="HA711" s="133"/>
      <c r="HB711" s="133"/>
      <c r="HC711" s="133"/>
      <c r="HD711" s="133"/>
      <c r="HE711" s="133"/>
      <c r="HF711" s="133"/>
      <c r="HG711" s="133"/>
      <c r="HH711" s="133"/>
      <c r="HI711" s="133"/>
      <c r="HJ711" s="133"/>
      <c r="HK711" s="133"/>
      <c r="HL711" s="133"/>
      <c r="HM711" s="133"/>
      <c r="HN711" s="133"/>
      <c r="HO711" s="133"/>
      <c r="HP711" s="133"/>
      <c r="HQ711" s="133"/>
      <c r="HR711" s="133"/>
      <c r="HS711" s="133"/>
      <c r="HT711" s="133"/>
      <c r="HU711" s="133"/>
      <c r="HV711" s="133"/>
      <c r="HW711" s="133"/>
      <c r="HX711" s="133"/>
      <c r="HY711" s="133"/>
      <c r="HZ711" s="133"/>
      <c r="IA711" s="133"/>
      <c r="IB711" s="133"/>
      <c r="IC711" s="133"/>
      <c r="ID711" s="133"/>
      <c r="IE711" s="133"/>
      <c r="IF711" s="133"/>
      <c r="IG711" s="133"/>
      <c r="IH711" s="133"/>
      <c r="II711" s="133"/>
      <c r="IJ711" s="133"/>
      <c r="IK711" s="133"/>
      <c r="IL711" s="133"/>
      <c r="IM711" s="133"/>
      <c r="IN711" s="133"/>
      <c r="IO711" s="133"/>
      <c r="IP711" s="133"/>
      <c r="IQ711" s="133"/>
      <c r="IR711" s="133"/>
      <c r="IS711" s="133"/>
      <c r="IT711" s="133"/>
      <c r="IU711" s="133"/>
      <c r="IV711" s="133"/>
    </row>
    <row r="712" spans="1:256" s="132" customFormat="1" ht="13.8">
      <c r="A712" s="133"/>
      <c r="B712" s="133"/>
      <c r="C712" s="133"/>
      <c r="D712" s="133"/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GE712" s="133"/>
      <c r="GF712" s="133"/>
      <c r="GG712" s="133"/>
      <c r="GH712" s="133"/>
      <c r="GI712" s="133"/>
      <c r="GJ712" s="133"/>
      <c r="GK712" s="133"/>
      <c r="GL712" s="133"/>
      <c r="GM712" s="133"/>
      <c r="GN712" s="133"/>
      <c r="GO712" s="133"/>
      <c r="GP712" s="133"/>
      <c r="GQ712" s="133"/>
      <c r="GR712" s="133"/>
      <c r="GS712" s="133"/>
      <c r="GT712" s="133"/>
      <c r="GU712" s="133"/>
      <c r="GV712" s="133"/>
      <c r="GW712" s="133"/>
      <c r="GX712" s="133"/>
      <c r="GY712" s="133"/>
      <c r="GZ712" s="133"/>
      <c r="HA712" s="133"/>
      <c r="HB712" s="133"/>
      <c r="HC712" s="133"/>
      <c r="HD712" s="133"/>
      <c r="HE712" s="133"/>
      <c r="HF712" s="133"/>
      <c r="HG712" s="133"/>
      <c r="HH712" s="133"/>
      <c r="HI712" s="133"/>
      <c r="HJ712" s="133"/>
      <c r="HK712" s="133"/>
      <c r="HL712" s="133"/>
      <c r="HM712" s="133"/>
      <c r="HN712" s="133"/>
      <c r="HO712" s="133"/>
      <c r="HP712" s="133"/>
      <c r="HQ712" s="133"/>
      <c r="HR712" s="133"/>
      <c r="HS712" s="133"/>
      <c r="HT712" s="133"/>
      <c r="HU712" s="133"/>
      <c r="HV712" s="133"/>
      <c r="HW712" s="133"/>
      <c r="HX712" s="133"/>
      <c r="HY712" s="133"/>
      <c r="HZ712" s="133"/>
      <c r="IA712" s="133"/>
      <c r="IB712" s="133"/>
      <c r="IC712" s="133"/>
      <c r="ID712" s="133"/>
      <c r="IE712" s="133"/>
      <c r="IF712" s="133"/>
      <c r="IG712" s="133"/>
      <c r="IH712" s="133"/>
      <c r="II712" s="133"/>
      <c r="IJ712" s="133"/>
      <c r="IK712" s="133"/>
      <c r="IL712" s="133"/>
      <c r="IM712" s="133"/>
      <c r="IN712" s="133"/>
      <c r="IO712" s="133"/>
      <c r="IP712" s="133"/>
      <c r="IQ712" s="133"/>
      <c r="IR712" s="133"/>
      <c r="IS712" s="133"/>
      <c r="IT712" s="133"/>
      <c r="IU712" s="133"/>
      <c r="IV712" s="133"/>
    </row>
    <row r="713" spans="1:256" s="132" customFormat="1" ht="13.8">
      <c r="A713" s="133"/>
      <c r="B713" s="133"/>
      <c r="C713" s="133"/>
      <c r="D713" s="133"/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GE713" s="133"/>
      <c r="GF713" s="133"/>
      <c r="GG713" s="133"/>
      <c r="GH713" s="133"/>
      <c r="GI713" s="133"/>
      <c r="GJ713" s="133"/>
      <c r="GK713" s="133"/>
      <c r="GL713" s="133"/>
      <c r="GM713" s="133"/>
      <c r="GN713" s="133"/>
      <c r="GO713" s="133"/>
      <c r="GP713" s="133"/>
      <c r="GQ713" s="133"/>
      <c r="GR713" s="133"/>
      <c r="GS713" s="133"/>
      <c r="GT713" s="133"/>
      <c r="GU713" s="133"/>
      <c r="GV713" s="133"/>
      <c r="GW713" s="133"/>
      <c r="GX713" s="133"/>
      <c r="GY713" s="133"/>
      <c r="GZ713" s="133"/>
      <c r="HA713" s="133"/>
      <c r="HB713" s="133"/>
      <c r="HC713" s="133"/>
      <c r="HD713" s="133"/>
      <c r="HE713" s="133"/>
      <c r="HF713" s="133"/>
      <c r="HG713" s="133"/>
      <c r="HH713" s="133"/>
      <c r="HI713" s="133"/>
      <c r="HJ713" s="133"/>
      <c r="HK713" s="133"/>
      <c r="HL713" s="133"/>
      <c r="HM713" s="133"/>
      <c r="HN713" s="133"/>
      <c r="HO713" s="133"/>
      <c r="HP713" s="133"/>
      <c r="HQ713" s="133"/>
      <c r="HR713" s="133"/>
      <c r="HS713" s="133"/>
      <c r="HT713" s="133"/>
      <c r="HU713" s="133"/>
      <c r="HV713" s="133"/>
      <c r="HW713" s="133"/>
      <c r="HX713" s="133"/>
      <c r="HY713" s="133"/>
      <c r="HZ713" s="133"/>
      <c r="IA713" s="133"/>
      <c r="IB713" s="133"/>
      <c r="IC713" s="133"/>
      <c r="ID713" s="133"/>
      <c r="IE713" s="133"/>
      <c r="IF713" s="133"/>
      <c r="IG713" s="133"/>
      <c r="IH713" s="133"/>
      <c r="II713" s="133"/>
      <c r="IJ713" s="133"/>
      <c r="IK713" s="133"/>
      <c r="IL713" s="133"/>
      <c r="IM713" s="133"/>
      <c r="IN713" s="133"/>
      <c r="IO713" s="133"/>
      <c r="IP713" s="133"/>
      <c r="IQ713" s="133"/>
      <c r="IR713" s="133"/>
      <c r="IS713" s="133"/>
      <c r="IT713" s="133"/>
      <c r="IU713" s="133"/>
      <c r="IV713" s="133"/>
    </row>
    <row r="714" spans="1:256" s="132" customFormat="1" ht="13.8">
      <c r="A714" s="133"/>
      <c r="B714" s="133"/>
      <c r="C714" s="133"/>
      <c r="D714" s="133"/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GE714" s="133"/>
      <c r="GF714" s="133"/>
      <c r="GG714" s="133"/>
      <c r="GH714" s="133"/>
      <c r="GI714" s="133"/>
      <c r="GJ714" s="133"/>
      <c r="GK714" s="133"/>
      <c r="GL714" s="133"/>
      <c r="GM714" s="133"/>
      <c r="GN714" s="133"/>
      <c r="GO714" s="133"/>
      <c r="GP714" s="133"/>
      <c r="GQ714" s="133"/>
      <c r="GR714" s="133"/>
      <c r="GS714" s="133"/>
      <c r="GT714" s="133"/>
      <c r="GU714" s="133"/>
      <c r="GV714" s="133"/>
      <c r="GW714" s="133"/>
      <c r="GX714" s="133"/>
      <c r="GY714" s="133"/>
      <c r="GZ714" s="133"/>
      <c r="HA714" s="133"/>
      <c r="HB714" s="133"/>
      <c r="HC714" s="133"/>
      <c r="HD714" s="133"/>
      <c r="HE714" s="133"/>
      <c r="HF714" s="133"/>
      <c r="HG714" s="133"/>
      <c r="HH714" s="133"/>
      <c r="HI714" s="133"/>
      <c r="HJ714" s="133"/>
      <c r="HK714" s="133"/>
      <c r="HL714" s="133"/>
      <c r="HM714" s="133"/>
      <c r="HN714" s="133"/>
      <c r="HO714" s="133"/>
      <c r="HP714" s="133"/>
      <c r="HQ714" s="133"/>
      <c r="HR714" s="133"/>
      <c r="HS714" s="133"/>
      <c r="HT714" s="133"/>
      <c r="HU714" s="133"/>
      <c r="HV714" s="133"/>
      <c r="HW714" s="133"/>
      <c r="HX714" s="133"/>
      <c r="HY714" s="133"/>
      <c r="HZ714" s="133"/>
      <c r="IA714" s="133"/>
      <c r="IB714" s="133"/>
      <c r="IC714" s="133"/>
      <c r="ID714" s="133"/>
      <c r="IE714" s="133"/>
      <c r="IF714" s="133"/>
      <c r="IG714" s="133"/>
      <c r="IH714" s="133"/>
      <c r="II714" s="133"/>
      <c r="IJ714" s="133"/>
      <c r="IK714" s="133"/>
      <c r="IL714" s="133"/>
      <c r="IM714" s="133"/>
      <c r="IN714" s="133"/>
      <c r="IO714" s="133"/>
      <c r="IP714" s="133"/>
      <c r="IQ714" s="133"/>
      <c r="IR714" s="133"/>
      <c r="IS714" s="133"/>
      <c r="IT714" s="133"/>
      <c r="IU714" s="133"/>
      <c r="IV714" s="133"/>
    </row>
    <row r="715" spans="1:256" s="132" customFormat="1" ht="13.8">
      <c r="A715" s="133"/>
      <c r="B715" s="133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GE715" s="133"/>
      <c r="GF715" s="133"/>
      <c r="GG715" s="133"/>
      <c r="GH715" s="133"/>
      <c r="GI715" s="133"/>
      <c r="GJ715" s="133"/>
      <c r="GK715" s="133"/>
      <c r="GL715" s="133"/>
      <c r="GM715" s="133"/>
      <c r="GN715" s="133"/>
      <c r="GO715" s="133"/>
      <c r="GP715" s="133"/>
      <c r="GQ715" s="133"/>
      <c r="GR715" s="133"/>
      <c r="GS715" s="133"/>
      <c r="GT715" s="133"/>
      <c r="GU715" s="133"/>
      <c r="GV715" s="133"/>
      <c r="GW715" s="133"/>
      <c r="GX715" s="133"/>
      <c r="GY715" s="133"/>
      <c r="GZ715" s="133"/>
      <c r="HA715" s="133"/>
      <c r="HB715" s="133"/>
      <c r="HC715" s="133"/>
      <c r="HD715" s="133"/>
      <c r="HE715" s="133"/>
      <c r="HF715" s="133"/>
      <c r="HG715" s="133"/>
      <c r="HH715" s="133"/>
      <c r="HI715" s="133"/>
      <c r="HJ715" s="133"/>
      <c r="HK715" s="133"/>
      <c r="HL715" s="133"/>
      <c r="HM715" s="133"/>
      <c r="HN715" s="133"/>
      <c r="HO715" s="133"/>
      <c r="HP715" s="133"/>
      <c r="HQ715" s="133"/>
      <c r="HR715" s="133"/>
      <c r="HS715" s="133"/>
      <c r="HT715" s="133"/>
      <c r="HU715" s="133"/>
      <c r="HV715" s="133"/>
      <c r="HW715" s="133"/>
      <c r="HX715" s="133"/>
      <c r="HY715" s="133"/>
      <c r="HZ715" s="133"/>
      <c r="IA715" s="133"/>
      <c r="IB715" s="133"/>
      <c r="IC715" s="133"/>
      <c r="ID715" s="133"/>
      <c r="IE715" s="133"/>
      <c r="IF715" s="133"/>
      <c r="IG715" s="133"/>
      <c r="IH715" s="133"/>
      <c r="II715" s="133"/>
      <c r="IJ715" s="133"/>
      <c r="IK715" s="133"/>
      <c r="IL715" s="133"/>
      <c r="IM715" s="133"/>
      <c r="IN715" s="133"/>
      <c r="IO715" s="133"/>
      <c r="IP715" s="133"/>
      <c r="IQ715" s="133"/>
      <c r="IR715" s="133"/>
      <c r="IS715" s="133"/>
      <c r="IT715" s="133"/>
      <c r="IU715" s="133"/>
      <c r="IV715" s="133"/>
    </row>
    <row r="716" spans="1:256" s="132" customFormat="1" ht="13.8">
      <c r="A716" s="133"/>
      <c r="B716" s="133"/>
      <c r="C716" s="133"/>
      <c r="D716" s="133"/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GE716" s="133"/>
      <c r="GF716" s="133"/>
      <c r="GG716" s="133"/>
      <c r="GH716" s="133"/>
      <c r="GI716" s="133"/>
      <c r="GJ716" s="133"/>
      <c r="GK716" s="133"/>
      <c r="GL716" s="133"/>
      <c r="GM716" s="133"/>
      <c r="GN716" s="133"/>
      <c r="GO716" s="133"/>
      <c r="GP716" s="133"/>
      <c r="GQ716" s="133"/>
      <c r="GR716" s="133"/>
      <c r="GS716" s="133"/>
      <c r="GT716" s="133"/>
      <c r="GU716" s="133"/>
      <c r="GV716" s="133"/>
      <c r="GW716" s="133"/>
      <c r="GX716" s="133"/>
      <c r="GY716" s="133"/>
      <c r="GZ716" s="133"/>
      <c r="HA716" s="133"/>
      <c r="HB716" s="133"/>
      <c r="HC716" s="133"/>
      <c r="HD716" s="133"/>
      <c r="HE716" s="133"/>
      <c r="HF716" s="133"/>
      <c r="HG716" s="133"/>
      <c r="HH716" s="133"/>
      <c r="HI716" s="133"/>
      <c r="HJ716" s="133"/>
      <c r="HK716" s="133"/>
      <c r="HL716" s="133"/>
      <c r="HM716" s="133"/>
      <c r="HN716" s="133"/>
      <c r="HO716" s="133"/>
      <c r="HP716" s="133"/>
      <c r="HQ716" s="133"/>
      <c r="HR716" s="133"/>
      <c r="HS716" s="133"/>
      <c r="HT716" s="133"/>
      <c r="HU716" s="133"/>
      <c r="HV716" s="133"/>
      <c r="HW716" s="133"/>
      <c r="HX716" s="133"/>
      <c r="HY716" s="133"/>
      <c r="HZ716" s="133"/>
      <c r="IA716" s="133"/>
      <c r="IB716" s="133"/>
      <c r="IC716" s="133"/>
      <c r="ID716" s="133"/>
      <c r="IE716" s="133"/>
      <c r="IF716" s="133"/>
      <c r="IG716" s="133"/>
      <c r="IH716" s="133"/>
      <c r="II716" s="133"/>
      <c r="IJ716" s="133"/>
      <c r="IK716" s="133"/>
      <c r="IL716" s="133"/>
      <c r="IM716" s="133"/>
      <c r="IN716" s="133"/>
      <c r="IO716" s="133"/>
      <c r="IP716" s="133"/>
      <c r="IQ716" s="133"/>
      <c r="IR716" s="133"/>
      <c r="IS716" s="133"/>
      <c r="IT716" s="133"/>
      <c r="IU716" s="133"/>
      <c r="IV716" s="133"/>
    </row>
    <row r="717" spans="1:256" s="132" customFormat="1" ht="13.8">
      <c r="A717" s="133"/>
      <c r="B717" s="133"/>
      <c r="C717" s="133"/>
      <c r="D717" s="133"/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GE717" s="133"/>
      <c r="GF717" s="133"/>
      <c r="GG717" s="133"/>
      <c r="GH717" s="133"/>
      <c r="GI717" s="133"/>
      <c r="GJ717" s="133"/>
      <c r="GK717" s="133"/>
      <c r="GL717" s="133"/>
      <c r="GM717" s="133"/>
      <c r="GN717" s="133"/>
      <c r="GO717" s="133"/>
      <c r="GP717" s="133"/>
      <c r="GQ717" s="133"/>
      <c r="GR717" s="133"/>
      <c r="GS717" s="133"/>
      <c r="GT717" s="133"/>
      <c r="GU717" s="133"/>
      <c r="GV717" s="133"/>
      <c r="GW717" s="133"/>
      <c r="GX717" s="133"/>
      <c r="GY717" s="133"/>
      <c r="GZ717" s="133"/>
      <c r="HA717" s="133"/>
      <c r="HB717" s="133"/>
      <c r="HC717" s="133"/>
      <c r="HD717" s="133"/>
      <c r="HE717" s="133"/>
      <c r="HF717" s="133"/>
      <c r="HG717" s="133"/>
      <c r="HH717" s="133"/>
      <c r="HI717" s="133"/>
      <c r="HJ717" s="133"/>
      <c r="HK717" s="133"/>
      <c r="HL717" s="133"/>
      <c r="HM717" s="133"/>
      <c r="HN717" s="133"/>
      <c r="HO717" s="133"/>
      <c r="HP717" s="133"/>
      <c r="HQ717" s="133"/>
      <c r="HR717" s="133"/>
      <c r="HS717" s="133"/>
      <c r="HT717" s="133"/>
      <c r="HU717" s="133"/>
      <c r="HV717" s="133"/>
      <c r="HW717" s="133"/>
      <c r="HX717" s="133"/>
      <c r="HY717" s="133"/>
      <c r="HZ717" s="133"/>
      <c r="IA717" s="133"/>
      <c r="IB717" s="133"/>
      <c r="IC717" s="133"/>
      <c r="ID717" s="133"/>
      <c r="IE717" s="133"/>
      <c r="IF717" s="133"/>
      <c r="IG717" s="133"/>
      <c r="IH717" s="133"/>
      <c r="II717" s="133"/>
      <c r="IJ717" s="133"/>
      <c r="IK717" s="133"/>
      <c r="IL717" s="133"/>
      <c r="IM717" s="133"/>
      <c r="IN717" s="133"/>
      <c r="IO717" s="133"/>
      <c r="IP717" s="133"/>
      <c r="IQ717" s="133"/>
      <c r="IR717" s="133"/>
      <c r="IS717" s="133"/>
      <c r="IT717" s="133"/>
      <c r="IU717" s="133"/>
      <c r="IV717" s="133"/>
    </row>
    <row r="718" spans="1:256" s="132" customFormat="1" ht="13.8">
      <c r="A718" s="133"/>
      <c r="B718" s="133"/>
      <c r="C718" s="133"/>
      <c r="D718" s="133"/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GE718" s="133"/>
      <c r="GF718" s="133"/>
      <c r="GG718" s="133"/>
      <c r="GH718" s="133"/>
      <c r="GI718" s="133"/>
      <c r="GJ718" s="133"/>
      <c r="GK718" s="133"/>
      <c r="GL718" s="133"/>
      <c r="GM718" s="133"/>
      <c r="GN718" s="133"/>
      <c r="GO718" s="133"/>
      <c r="GP718" s="133"/>
      <c r="GQ718" s="133"/>
      <c r="GR718" s="133"/>
      <c r="GS718" s="133"/>
      <c r="GT718" s="133"/>
      <c r="GU718" s="133"/>
      <c r="GV718" s="133"/>
      <c r="GW718" s="133"/>
      <c r="GX718" s="133"/>
      <c r="GY718" s="133"/>
      <c r="GZ718" s="133"/>
      <c r="HA718" s="133"/>
      <c r="HB718" s="133"/>
      <c r="HC718" s="133"/>
      <c r="HD718" s="133"/>
      <c r="HE718" s="133"/>
      <c r="HF718" s="133"/>
      <c r="HG718" s="133"/>
      <c r="HH718" s="133"/>
      <c r="HI718" s="133"/>
      <c r="HJ718" s="133"/>
      <c r="HK718" s="133"/>
      <c r="HL718" s="133"/>
      <c r="HM718" s="133"/>
      <c r="HN718" s="133"/>
      <c r="HO718" s="133"/>
      <c r="HP718" s="133"/>
      <c r="HQ718" s="133"/>
      <c r="HR718" s="133"/>
      <c r="HS718" s="133"/>
      <c r="HT718" s="133"/>
      <c r="HU718" s="133"/>
      <c r="HV718" s="133"/>
      <c r="HW718" s="133"/>
      <c r="HX718" s="133"/>
      <c r="HY718" s="133"/>
      <c r="HZ718" s="133"/>
      <c r="IA718" s="133"/>
      <c r="IB718" s="133"/>
      <c r="IC718" s="133"/>
      <c r="ID718" s="133"/>
      <c r="IE718" s="133"/>
      <c r="IF718" s="133"/>
      <c r="IG718" s="133"/>
      <c r="IH718" s="133"/>
      <c r="II718" s="133"/>
      <c r="IJ718" s="133"/>
      <c r="IK718" s="133"/>
      <c r="IL718" s="133"/>
      <c r="IM718" s="133"/>
      <c r="IN718" s="133"/>
      <c r="IO718" s="133"/>
      <c r="IP718" s="133"/>
      <c r="IQ718" s="133"/>
      <c r="IR718" s="133"/>
      <c r="IS718" s="133"/>
      <c r="IT718" s="133"/>
      <c r="IU718" s="133"/>
      <c r="IV718" s="133"/>
    </row>
    <row r="719" spans="1:256" s="132" customFormat="1" ht="13.8">
      <c r="A719" s="133"/>
      <c r="B719" s="133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GE719" s="133"/>
      <c r="GF719" s="133"/>
      <c r="GG719" s="133"/>
      <c r="GH719" s="133"/>
      <c r="GI719" s="133"/>
      <c r="GJ719" s="133"/>
      <c r="GK719" s="133"/>
      <c r="GL719" s="133"/>
      <c r="GM719" s="133"/>
      <c r="GN719" s="133"/>
      <c r="GO719" s="133"/>
      <c r="GP719" s="133"/>
      <c r="GQ719" s="133"/>
      <c r="GR719" s="133"/>
      <c r="GS719" s="133"/>
      <c r="GT719" s="133"/>
      <c r="GU719" s="133"/>
      <c r="GV719" s="133"/>
      <c r="GW719" s="133"/>
      <c r="GX719" s="133"/>
      <c r="GY719" s="133"/>
      <c r="GZ719" s="133"/>
      <c r="HA719" s="133"/>
      <c r="HB719" s="133"/>
      <c r="HC719" s="133"/>
      <c r="HD719" s="133"/>
      <c r="HE719" s="133"/>
      <c r="HF719" s="133"/>
      <c r="HG719" s="133"/>
      <c r="HH719" s="133"/>
      <c r="HI719" s="133"/>
      <c r="HJ719" s="133"/>
      <c r="HK719" s="133"/>
      <c r="HL719" s="133"/>
      <c r="HM719" s="133"/>
      <c r="HN719" s="133"/>
      <c r="HO719" s="133"/>
      <c r="HP719" s="133"/>
      <c r="HQ719" s="133"/>
      <c r="HR719" s="133"/>
      <c r="HS719" s="133"/>
      <c r="HT719" s="133"/>
      <c r="HU719" s="133"/>
      <c r="HV719" s="133"/>
      <c r="HW719" s="133"/>
      <c r="HX719" s="133"/>
      <c r="HY719" s="133"/>
      <c r="HZ719" s="133"/>
      <c r="IA719" s="133"/>
      <c r="IB719" s="133"/>
      <c r="IC719" s="133"/>
      <c r="ID719" s="133"/>
      <c r="IE719" s="133"/>
      <c r="IF719" s="133"/>
      <c r="IG719" s="133"/>
      <c r="IH719" s="133"/>
      <c r="II719" s="133"/>
      <c r="IJ719" s="133"/>
      <c r="IK719" s="133"/>
      <c r="IL719" s="133"/>
      <c r="IM719" s="133"/>
      <c r="IN719" s="133"/>
      <c r="IO719" s="133"/>
      <c r="IP719" s="133"/>
      <c r="IQ719" s="133"/>
      <c r="IR719" s="133"/>
      <c r="IS719" s="133"/>
      <c r="IT719" s="133"/>
      <c r="IU719" s="133"/>
      <c r="IV719" s="133"/>
    </row>
    <row r="720" spans="1:256" s="132" customFormat="1" ht="13.8">
      <c r="A720" s="133"/>
      <c r="B720" s="133"/>
      <c r="C720" s="133"/>
      <c r="D720" s="133"/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GE720" s="133"/>
      <c r="GF720" s="133"/>
      <c r="GG720" s="133"/>
      <c r="GH720" s="133"/>
      <c r="GI720" s="133"/>
      <c r="GJ720" s="133"/>
      <c r="GK720" s="133"/>
      <c r="GL720" s="133"/>
      <c r="GM720" s="133"/>
      <c r="GN720" s="133"/>
      <c r="GO720" s="133"/>
      <c r="GP720" s="133"/>
      <c r="GQ720" s="133"/>
      <c r="GR720" s="133"/>
      <c r="GS720" s="133"/>
      <c r="GT720" s="133"/>
      <c r="GU720" s="133"/>
      <c r="GV720" s="133"/>
      <c r="GW720" s="133"/>
      <c r="GX720" s="133"/>
      <c r="GY720" s="133"/>
      <c r="GZ720" s="133"/>
      <c r="HA720" s="133"/>
      <c r="HB720" s="133"/>
      <c r="HC720" s="133"/>
      <c r="HD720" s="133"/>
      <c r="HE720" s="133"/>
      <c r="HF720" s="133"/>
      <c r="HG720" s="133"/>
      <c r="HH720" s="133"/>
      <c r="HI720" s="133"/>
      <c r="HJ720" s="133"/>
      <c r="HK720" s="133"/>
      <c r="HL720" s="133"/>
      <c r="HM720" s="133"/>
      <c r="HN720" s="133"/>
      <c r="HO720" s="133"/>
      <c r="HP720" s="133"/>
      <c r="HQ720" s="133"/>
      <c r="HR720" s="133"/>
      <c r="HS720" s="133"/>
      <c r="HT720" s="133"/>
      <c r="HU720" s="133"/>
      <c r="HV720" s="133"/>
      <c r="HW720" s="133"/>
      <c r="HX720" s="133"/>
      <c r="HY720" s="133"/>
      <c r="HZ720" s="133"/>
      <c r="IA720" s="133"/>
      <c r="IB720" s="133"/>
      <c r="IC720" s="133"/>
      <c r="ID720" s="133"/>
      <c r="IE720" s="133"/>
      <c r="IF720" s="133"/>
      <c r="IG720" s="133"/>
      <c r="IH720" s="133"/>
      <c r="II720" s="133"/>
      <c r="IJ720" s="133"/>
      <c r="IK720" s="133"/>
      <c r="IL720" s="133"/>
      <c r="IM720" s="133"/>
      <c r="IN720" s="133"/>
      <c r="IO720" s="133"/>
      <c r="IP720" s="133"/>
      <c r="IQ720" s="133"/>
      <c r="IR720" s="133"/>
      <c r="IS720" s="133"/>
      <c r="IT720" s="133"/>
      <c r="IU720" s="133"/>
      <c r="IV720" s="133"/>
    </row>
    <row r="721" spans="1:256" s="132" customFormat="1" ht="13.8">
      <c r="A721" s="133"/>
      <c r="B721" s="133"/>
      <c r="C721" s="133"/>
      <c r="D721" s="133"/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GE721" s="133"/>
      <c r="GF721" s="133"/>
      <c r="GG721" s="133"/>
      <c r="GH721" s="133"/>
      <c r="GI721" s="133"/>
      <c r="GJ721" s="133"/>
      <c r="GK721" s="133"/>
      <c r="GL721" s="133"/>
      <c r="GM721" s="133"/>
      <c r="GN721" s="133"/>
      <c r="GO721" s="133"/>
      <c r="GP721" s="133"/>
      <c r="GQ721" s="133"/>
      <c r="GR721" s="133"/>
      <c r="GS721" s="133"/>
      <c r="GT721" s="133"/>
      <c r="GU721" s="133"/>
      <c r="GV721" s="133"/>
      <c r="GW721" s="133"/>
      <c r="GX721" s="133"/>
      <c r="GY721" s="133"/>
      <c r="GZ721" s="133"/>
      <c r="HA721" s="133"/>
      <c r="HB721" s="133"/>
      <c r="HC721" s="133"/>
      <c r="HD721" s="133"/>
      <c r="HE721" s="133"/>
      <c r="HF721" s="133"/>
      <c r="HG721" s="133"/>
      <c r="HH721" s="133"/>
      <c r="HI721" s="133"/>
      <c r="HJ721" s="133"/>
      <c r="HK721" s="133"/>
      <c r="HL721" s="133"/>
      <c r="HM721" s="133"/>
      <c r="HN721" s="133"/>
      <c r="HO721" s="133"/>
      <c r="HP721" s="133"/>
      <c r="HQ721" s="133"/>
      <c r="HR721" s="133"/>
      <c r="HS721" s="133"/>
      <c r="HT721" s="133"/>
      <c r="HU721" s="133"/>
      <c r="HV721" s="133"/>
      <c r="HW721" s="133"/>
      <c r="HX721" s="133"/>
      <c r="HY721" s="133"/>
      <c r="HZ721" s="133"/>
      <c r="IA721" s="133"/>
      <c r="IB721" s="133"/>
      <c r="IC721" s="133"/>
      <c r="ID721" s="133"/>
      <c r="IE721" s="133"/>
      <c r="IF721" s="133"/>
      <c r="IG721" s="133"/>
      <c r="IH721" s="133"/>
      <c r="II721" s="133"/>
      <c r="IJ721" s="133"/>
      <c r="IK721" s="133"/>
      <c r="IL721" s="133"/>
      <c r="IM721" s="133"/>
      <c r="IN721" s="133"/>
      <c r="IO721" s="133"/>
      <c r="IP721" s="133"/>
      <c r="IQ721" s="133"/>
      <c r="IR721" s="133"/>
      <c r="IS721" s="133"/>
      <c r="IT721" s="133"/>
      <c r="IU721" s="133"/>
      <c r="IV721" s="133"/>
    </row>
    <row r="722" spans="1:256" s="132" customFormat="1" ht="13.8">
      <c r="A722" s="133"/>
      <c r="B722" s="133"/>
      <c r="C722" s="133"/>
      <c r="D722" s="133"/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GE722" s="133"/>
      <c r="GF722" s="133"/>
      <c r="GG722" s="133"/>
      <c r="GH722" s="133"/>
      <c r="GI722" s="133"/>
      <c r="GJ722" s="133"/>
      <c r="GK722" s="133"/>
      <c r="GL722" s="133"/>
      <c r="GM722" s="133"/>
      <c r="GN722" s="133"/>
      <c r="GO722" s="133"/>
      <c r="GP722" s="133"/>
      <c r="GQ722" s="133"/>
      <c r="GR722" s="133"/>
      <c r="GS722" s="133"/>
      <c r="GT722" s="133"/>
      <c r="GU722" s="133"/>
      <c r="GV722" s="133"/>
      <c r="GW722" s="133"/>
      <c r="GX722" s="133"/>
      <c r="GY722" s="133"/>
      <c r="GZ722" s="133"/>
      <c r="HA722" s="133"/>
      <c r="HB722" s="133"/>
      <c r="HC722" s="133"/>
      <c r="HD722" s="133"/>
      <c r="HE722" s="133"/>
      <c r="HF722" s="133"/>
      <c r="HG722" s="133"/>
      <c r="HH722" s="133"/>
      <c r="HI722" s="133"/>
      <c r="HJ722" s="133"/>
      <c r="HK722" s="133"/>
      <c r="HL722" s="133"/>
      <c r="HM722" s="133"/>
      <c r="HN722" s="133"/>
      <c r="HO722" s="133"/>
      <c r="HP722" s="133"/>
      <c r="HQ722" s="133"/>
      <c r="HR722" s="133"/>
      <c r="HS722" s="133"/>
      <c r="HT722" s="133"/>
      <c r="HU722" s="133"/>
      <c r="HV722" s="133"/>
      <c r="HW722" s="133"/>
      <c r="HX722" s="133"/>
      <c r="HY722" s="133"/>
      <c r="HZ722" s="133"/>
      <c r="IA722" s="133"/>
      <c r="IB722" s="133"/>
      <c r="IC722" s="133"/>
      <c r="ID722" s="133"/>
      <c r="IE722" s="133"/>
      <c r="IF722" s="133"/>
      <c r="IG722" s="133"/>
      <c r="IH722" s="133"/>
      <c r="II722" s="133"/>
      <c r="IJ722" s="133"/>
      <c r="IK722" s="133"/>
      <c r="IL722" s="133"/>
      <c r="IM722" s="133"/>
      <c r="IN722" s="133"/>
      <c r="IO722" s="133"/>
      <c r="IP722" s="133"/>
      <c r="IQ722" s="133"/>
      <c r="IR722" s="133"/>
      <c r="IS722" s="133"/>
      <c r="IT722" s="133"/>
      <c r="IU722" s="133"/>
      <c r="IV722" s="133"/>
    </row>
    <row r="723" spans="1:256" s="132" customFormat="1" ht="13.8">
      <c r="A723" s="133"/>
      <c r="B723" s="133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GE723" s="133"/>
      <c r="GF723" s="133"/>
      <c r="GG723" s="133"/>
      <c r="GH723" s="133"/>
      <c r="GI723" s="133"/>
      <c r="GJ723" s="133"/>
      <c r="GK723" s="133"/>
      <c r="GL723" s="133"/>
      <c r="GM723" s="133"/>
      <c r="GN723" s="133"/>
      <c r="GO723" s="133"/>
      <c r="GP723" s="133"/>
      <c r="GQ723" s="133"/>
      <c r="GR723" s="133"/>
      <c r="GS723" s="133"/>
      <c r="GT723" s="133"/>
      <c r="GU723" s="133"/>
      <c r="GV723" s="133"/>
      <c r="GW723" s="133"/>
      <c r="GX723" s="133"/>
      <c r="GY723" s="133"/>
      <c r="GZ723" s="133"/>
      <c r="HA723" s="133"/>
      <c r="HB723" s="133"/>
      <c r="HC723" s="133"/>
      <c r="HD723" s="133"/>
      <c r="HE723" s="133"/>
      <c r="HF723" s="133"/>
      <c r="HG723" s="133"/>
      <c r="HH723" s="133"/>
      <c r="HI723" s="133"/>
      <c r="HJ723" s="133"/>
      <c r="HK723" s="133"/>
      <c r="HL723" s="133"/>
      <c r="HM723" s="133"/>
      <c r="HN723" s="133"/>
      <c r="HO723" s="133"/>
      <c r="HP723" s="133"/>
      <c r="HQ723" s="133"/>
      <c r="HR723" s="133"/>
      <c r="HS723" s="133"/>
      <c r="HT723" s="133"/>
      <c r="HU723" s="133"/>
      <c r="HV723" s="133"/>
      <c r="HW723" s="133"/>
      <c r="HX723" s="133"/>
      <c r="HY723" s="133"/>
      <c r="HZ723" s="133"/>
      <c r="IA723" s="133"/>
      <c r="IB723" s="133"/>
      <c r="IC723" s="133"/>
      <c r="ID723" s="133"/>
      <c r="IE723" s="133"/>
      <c r="IF723" s="133"/>
      <c r="IG723" s="133"/>
      <c r="IH723" s="133"/>
      <c r="II723" s="133"/>
      <c r="IJ723" s="133"/>
      <c r="IK723" s="133"/>
      <c r="IL723" s="133"/>
      <c r="IM723" s="133"/>
      <c r="IN723" s="133"/>
      <c r="IO723" s="133"/>
      <c r="IP723" s="133"/>
      <c r="IQ723" s="133"/>
      <c r="IR723" s="133"/>
      <c r="IS723" s="133"/>
      <c r="IT723" s="133"/>
      <c r="IU723" s="133"/>
      <c r="IV723" s="133"/>
    </row>
    <row r="724" spans="1:256" s="132" customFormat="1" ht="13.8">
      <c r="A724" s="133"/>
      <c r="B724" s="133"/>
      <c r="C724" s="133"/>
      <c r="D724" s="133"/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GE724" s="133"/>
      <c r="GF724" s="133"/>
      <c r="GG724" s="133"/>
      <c r="GH724" s="133"/>
      <c r="GI724" s="133"/>
      <c r="GJ724" s="133"/>
      <c r="GK724" s="133"/>
      <c r="GL724" s="133"/>
      <c r="GM724" s="133"/>
      <c r="GN724" s="133"/>
      <c r="GO724" s="133"/>
      <c r="GP724" s="133"/>
      <c r="GQ724" s="133"/>
      <c r="GR724" s="133"/>
      <c r="GS724" s="133"/>
      <c r="GT724" s="133"/>
      <c r="GU724" s="133"/>
      <c r="GV724" s="133"/>
      <c r="GW724" s="133"/>
      <c r="GX724" s="133"/>
      <c r="GY724" s="133"/>
      <c r="GZ724" s="133"/>
      <c r="HA724" s="133"/>
      <c r="HB724" s="133"/>
      <c r="HC724" s="133"/>
      <c r="HD724" s="133"/>
      <c r="HE724" s="133"/>
      <c r="HF724" s="133"/>
      <c r="HG724" s="133"/>
      <c r="HH724" s="133"/>
      <c r="HI724" s="133"/>
      <c r="HJ724" s="133"/>
      <c r="HK724" s="133"/>
      <c r="HL724" s="133"/>
      <c r="HM724" s="133"/>
      <c r="HN724" s="133"/>
      <c r="HO724" s="133"/>
      <c r="HP724" s="133"/>
      <c r="HQ724" s="133"/>
      <c r="HR724" s="133"/>
      <c r="HS724" s="133"/>
      <c r="HT724" s="133"/>
      <c r="HU724" s="133"/>
      <c r="HV724" s="133"/>
      <c r="HW724" s="133"/>
      <c r="HX724" s="133"/>
      <c r="HY724" s="133"/>
      <c r="HZ724" s="133"/>
      <c r="IA724" s="133"/>
      <c r="IB724" s="133"/>
      <c r="IC724" s="133"/>
      <c r="ID724" s="133"/>
      <c r="IE724" s="133"/>
      <c r="IF724" s="133"/>
      <c r="IG724" s="133"/>
      <c r="IH724" s="133"/>
      <c r="II724" s="133"/>
      <c r="IJ724" s="133"/>
      <c r="IK724" s="133"/>
      <c r="IL724" s="133"/>
      <c r="IM724" s="133"/>
      <c r="IN724" s="133"/>
      <c r="IO724" s="133"/>
      <c r="IP724" s="133"/>
      <c r="IQ724" s="133"/>
      <c r="IR724" s="133"/>
      <c r="IS724" s="133"/>
      <c r="IT724" s="133"/>
      <c r="IU724" s="133"/>
      <c r="IV724" s="133"/>
    </row>
    <row r="725" spans="1:256" s="132" customFormat="1" ht="13.8">
      <c r="A725" s="133"/>
      <c r="B725" s="133"/>
      <c r="C725" s="133"/>
      <c r="D725" s="133"/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GE725" s="133"/>
      <c r="GF725" s="133"/>
      <c r="GG725" s="133"/>
      <c r="GH725" s="133"/>
      <c r="GI725" s="133"/>
      <c r="GJ725" s="133"/>
      <c r="GK725" s="133"/>
      <c r="GL725" s="133"/>
      <c r="GM725" s="133"/>
      <c r="GN725" s="133"/>
      <c r="GO725" s="133"/>
      <c r="GP725" s="133"/>
      <c r="GQ725" s="133"/>
      <c r="GR725" s="133"/>
      <c r="GS725" s="133"/>
      <c r="GT725" s="133"/>
      <c r="GU725" s="133"/>
      <c r="GV725" s="133"/>
      <c r="GW725" s="133"/>
      <c r="GX725" s="133"/>
      <c r="GY725" s="133"/>
      <c r="GZ725" s="133"/>
      <c r="HA725" s="133"/>
      <c r="HB725" s="133"/>
      <c r="HC725" s="133"/>
      <c r="HD725" s="133"/>
      <c r="HE725" s="133"/>
      <c r="HF725" s="133"/>
      <c r="HG725" s="133"/>
      <c r="HH725" s="133"/>
      <c r="HI725" s="133"/>
      <c r="HJ725" s="133"/>
      <c r="HK725" s="133"/>
      <c r="HL725" s="133"/>
      <c r="HM725" s="133"/>
      <c r="HN725" s="133"/>
      <c r="HO725" s="133"/>
      <c r="HP725" s="133"/>
      <c r="HQ725" s="133"/>
      <c r="HR725" s="133"/>
      <c r="HS725" s="133"/>
      <c r="HT725" s="133"/>
      <c r="HU725" s="133"/>
      <c r="HV725" s="133"/>
      <c r="HW725" s="133"/>
      <c r="HX725" s="133"/>
      <c r="HY725" s="133"/>
      <c r="HZ725" s="133"/>
      <c r="IA725" s="133"/>
      <c r="IB725" s="133"/>
      <c r="IC725" s="133"/>
      <c r="ID725" s="133"/>
      <c r="IE725" s="133"/>
      <c r="IF725" s="133"/>
      <c r="IG725" s="133"/>
      <c r="IH725" s="133"/>
      <c r="II725" s="133"/>
      <c r="IJ725" s="133"/>
      <c r="IK725" s="133"/>
      <c r="IL725" s="133"/>
      <c r="IM725" s="133"/>
      <c r="IN725" s="133"/>
      <c r="IO725" s="133"/>
      <c r="IP725" s="133"/>
      <c r="IQ725" s="133"/>
      <c r="IR725" s="133"/>
      <c r="IS725" s="133"/>
      <c r="IT725" s="133"/>
      <c r="IU725" s="133"/>
      <c r="IV725" s="133"/>
    </row>
    <row r="726" spans="1:256" s="132" customFormat="1" ht="13.8">
      <c r="A726" s="133"/>
      <c r="B726" s="133"/>
      <c r="C726" s="133"/>
      <c r="D726" s="133"/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GE726" s="133"/>
      <c r="GF726" s="133"/>
      <c r="GG726" s="133"/>
      <c r="GH726" s="133"/>
      <c r="GI726" s="133"/>
      <c r="GJ726" s="133"/>
      <c r="GK726" s="133"/>
      <c r="GL726" s="133"/>
      <c r="GM726" s="133"/>
      <c r="GN726" s="133"/>
      <c r="GO726" s="133"/>
      <c r="GP726" s="133"/>
      <c r="GQ726" s="133"/>
      <c r="GR726" s="133"/>
      <c r="GS726" s="133"/>
      <c r="GT726" s="133"/>
      <c r="GU726" s="133"/>
      <c r="GV726" s="133"/>
      <c r="GW726" s="133"/>
      <c r="GX726" s="133"/>
      <c r="GY726" s="133"/>
      <c r="GZ726" s="133"/>
      <c r="HA726" s="133"/>
      <c r="HB726" s="133"/>
      <c r="HC726" s="133"/>
      <c r="HD726" s="133"/>
      <c r="HE726" s="133"/>
      <c r="HF726" s="133"/>
      <c r="HG726" s="133"/>
      <c r="HH726" s="133"/>
      <c r="HI726" s="133"/>
      <c r="HJ726" s="133"/>
      <c r="HK726" s="133"/>
      <c r="HL726" s="133"/>
      <c r="HM726" s="133"/>
      <c r="HN726" s="133"/>
      <c r="HO726" s="133"/>
      <c r="HP726" s="133"/>
      <c r="HQ726" s="133"/>
      <c r="HR726" s="133"/>
      <c r="HS726" s="133"/>
      <c r="HT726" s="133"/>
      <c r="HU726" s="133"/>
      <c r="HV726" s="133"/>
      <c r="HW726" s="133"/>
      <c r="HX726" s="133"/>
      <c r="HY726" s="133"/>
      <c r="HZ726" s="133"/>
      <c r="IA726" s="133"/>
      <c r="IB726" s="133"/>
      <c r="IC726" s="133"/>
      <c r="ID726" s="133"/>
      <c r="IE726" s="133"/>
      <c r="IF726" s="133"/>
      <c r="IG726" s="133"/>
      <c r="IH726" s="133"/>
      <c r="II726" s="133"/>
      <c r="IJ726" s="133"/>
      <c r="IK726" s="133"/>
      <c r="IL726" s="133"/>
      <c r="IM726" s="133"/>
      <c r="IN726" s="133"/>
      <c r="IO726" s="133"/>
      <c r="IP726" s="133"/>
      <c r="IQ726" s="133"/>
      <c r="IR726" s="133"/>
      <c r="IS726" s="133"/>
      <c r="IT726" s="133"/>
      <c r="IU726" s="133"/>
      <c r="IV726" s="133"/>
    </row>
    <row r="727" spans="1:256" s="132" customFormat="1" ht="13.8">
      <c r="A727" s="133"/>
      <c r="B727" s="133"/>
      <c r="C727" s="133"/>
      <c r="D727" s="133"/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GE727" s="133"/>
      <c r="GF727" s="133"/>
      <c r="GG727" s="133"/>
      <c r="GH727" s="133"/>
      <c r="GI727" s="133"/>
      <c r="GJ727" s="133"/>
      <c r="GK727" s="133"/>
      <c r="GL727" s="133"/>
      <c r="GM727" s="133"/>
      <c r="GN727" s="133"/>
      <c r="GO727" s="133"/>
      <c r="GP727" s="133"/>
      <c r="GQ727" s="133"/>
      <c r="GR727" s="133"/>
      <c r="GS727" s="133"/>
      <c r="GT727" s="133"/>
      <c r="GU727" s="133"/>
      <c r="GV727" s="133"/>
      <c r="GW727" s="133"/>
      <c r="GX727" s="133"/>
      <c r="GY727" s="133"/>
      <c r="GZ727" s="133"/>
      <c r="HA727" s="133"/>
      <c r="HB727" s="133"/>
      <c r="HC727" s="133"/>
      <c r="HD727" s="133"/>
      <c r="HE727" s="133"/>
      <c r="HF727" s="133"/>
      <c r="HG727" s="133"/>
      <c r="HH727" s="133"/>
      <c r="HI727" s="133"/>
      <c r="HJ727" s="133"/>
      <c r="HK727" s="133"/>
      <c r="HL727" s="133"/>
      <c r="HM727" s="133"/>
      <c r="HN727" s="133"/>
      <c r="HO727" s="133"/>
      <c r="HP727" s="133"/>
      <c r="HQ727" s="133"/>
      <c r="HR727" s="133"/>
      <c r="HS727" s="133"/>
      <c r="HT727" s="133"/>
      <c r="HU727" s="133"/>
      <c r="HV727" s="133"/>
      <c r="HW727" s="133"/>
      <c r="HX727" s="133"/>
      <c r="HY727" s="133"/>
      <c r="HZ727" s="133"/>
      <c r="IA727" s="133"/>
      <c r="IB727" s="133"/>
      <c r="IC727" s="133"/>
      <c r="ID727" s="133"/>
      <c r="IE727" s="133"/>
      <c r="IF727" s="133"/>
      <c r="IG727" s="133"/>
      <c r="IH727" s="133"/>
      <c r="II727" s="133"/>
      <c r="IJ727" s="133"/>
      <c r="IK727" s="133"/>
      <c r="IL727" s="133"/>
      <c r="IM727" s="133"/>
      <c r="IN727" s="133"/>
      <c r="IO727" s="133"/>
      <c r="IP727" s="133"/>
      <c r="IQ727" s="133"/>
      <c r="IR727" s="133"/>
      <c r="IS727" s="133"/>
      <c r="IT727" s="133"/>
      <c r="IU727" s="133"/>
      <c r="IV727" s="133"/>
    </row>
    <row r="728" spans="1:256" s="132" customFormat="1" ht="13.8">
      <c r="A728" s="133"/>
      <c r="B728" s="133"/>
      <c r="C728" s="133"/>
      <c r="D728" s="133"/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GE728" s="133"/>
      <c r="GF728" s="133"/>
      <c r="GG728" s="133"/>
      <c r="GH728" s="133"/>
      <c r="GI728" s="133"/>
      <c r="GJ728" s="133"/>
      <c r="GK728" s="133"/>
      <c r="GL728" s="133"/>
      <c r="GM728" s="133"/>
      <c r="GN728" s="133"/>
      <c r="GO728" s="133"/>
      <c r="GP728" s="133"/>
      <c r="GQ728" s="133"/>
      <c r="GR728" s="133"/>
      <c r="GS728" s="133"/>
      <c r="GT728" s="133"/>
      <c r="GU728" s="133"/>
      <c r="GV728" s="133"/>
      <c r="GW728" s="133"/>
      <c r="GX728" s="133"/>
      <c r="GY728" s="133"/>
      <c r="GZ728" s="133"/>
      <c r="HA728" s="133"/>
      <c r="HB728" s="133"/>
      <c r="HC728" s="133"/>
      <c r="HD728" s="133"/>
      <c r="HE728" s="133"/>
      <c r="HF728" s="133"/>
      <c r="HG728" s="133"/>
      <c r="HH728" s="133"/>
      <c r="HI728" s="133"/>
      <c r="HJ728" s="133"/>
      <c r="HK728" s="133"/>
      <c r="HL728" s="133"/>
      <c r="HM728" s="133"/>
      <c r="HN728" s="133"/>
      <c r="HO728" s="133"/>
      <c r="HP728" s="133"/>
      <c r="HQ728" s="133"/>
      <c r="HR728" s="133"/>
      <c r="HS728" s="133"/>
      <c r="HT728" s="133"/>
      <c r="HU728" s="133"/>
      <c r="HV728" s="133"/>
      <c r="HW728" s="133"/>
      <c r="HX728" s="133"/>
      <c r="HY728" s="133"/>
      <c r="HZ728" s="133"/>
      <c r="IA728" s="133"/>
      <c r="IB728" s="133"/>
      <c r="IC728" s="133"/>
      <c r="ID728" s="133"/>
      <c r="IE728" s="133"/>
      <c r="IF728" s="133"/>
      <c r="IG728" s="133"/>
      <c r="IH728" s="133"/>
      <c r="II728" s="133"/>
      <c r="IJ728" s="133"/>
      <c r="IK728" s="133"/>
      <c r="IL728" s="133"/>
      <c r="IM728" s="133"/>
      <c r="IN728" s="133"/>
      <c r="IO728" s="133"/>
      <c r="IP728" s="133"/>
      <c r="IQ728" s="133"/>
      <c r="IR728" s="133"/>
      <c r="IS728" s="133"/>
      <c r="IT728" s="133"/>
      <c r="IU728" s="133"/>
      <c r="IV728" s="133"/>
    </row>
    <row r="729" spans="1:256" s="132" customFormat="1" ht="13.8">
      <c r="A729" s="133"/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GE729" s="133"/>
      <c r="GF729" s="133"/>
      <c r="GG729" s="133"/>
      <c r="GH729" s="133"/>
      <c r="GI729" s="133"/>
      <c r="GJ729" s="133"/>
      <c r="GK729" s="133"/>
      <c r="GL729" s="133"/>
      <c r="GM729" s="133"/>
      <c r="GN729" s="133"/>
      <c r="GO729" s="133"/>
      <c r="GP729" s="133"/>
      <c r="GQ729" s="133"/>
      <c r="GR729" s="133"/>
      <c r="GS729" s="133"/>
      <c r="GT729" s="133"/>
      <c r="GU729" s="133"/>
      <c r="GV729" s="133"/>
      <c r="GW729" s="133"/>
      <c r="GX729" s="133"/>
      <c r="GY729" s="133"/>
      <c r="GZ729" s="133"/>
      <c r="HA729" s="133"/>
      <c r="HB729" s="133"/>
      <c r="HC729" s="133"/>
      <c r="HD729" s="133"/>
      <c r="HE729" s="133"/>
      <c r="HF729" s="133"/>
      <c r="HG729" s="133"/>
      <c r="HH729" s="133"/>
      <c r="HI729" s="133"/>
      <c r="HJ729" s="133"/>
      <c r="HK729" s="133"/>
      <c r="HL729" s="133"/>
      <c r="HM729" s="133"/>
      <c r="HN729" s="133"/>
      <c r="HO729" s="133"/>
      <c r="HP729" s="133"/>
      <c r="HQ729" s="133"/>
      <c r="HR729" s="133"/>
      <c r="HS729" s="133"/>
      <c r="HT729" s="133"/>
      <c r="HU729" s="133"/>
      <c r="HV729" s="133"/>
      <c r="HW729" s="133"/>
      <c r="HX729" s="133"/>
      <c r="HY729" s="133"/>
      <c r="HZ729" s="133"/>
      <c r="IA729" s="133"/>
      <c r="IB729" s="133"/>
      <c r="IC729" s="133"/>
      <c r="ID729" s="133"/>
      <c r="IE729" s="133"/>
      <c r="IF729" s="133"/>
      <c r="IG729" s="133"/>
      <c r="IH729" s="133"/>
      <c r="II729" s="133"/>
      <c r="IJ729" s="133"/>
      <c r="IK729" s="133"/>
      <c r="IL729" s="133"/>
      <c r="IM729" s="133"/>
      <c r="IN729" s="133"/>
      <c r="IO729" s="133"/>
      <c r="IP729" s="133"/>
      <c r="IQ729" s="133"/>
      <c r="IR729" s="133"/>
      <c r="IS729" s="133"/>
      <c r="IT729" s="133"/>
      <c r="IU729" s="133"/>
      <c r="IV729" s="133"/>
    </row>
    <row r="730" spans="1:256" s="132" customFormat="1" ht="13.8">
      <c r="A730" s="133"/>
      <c r="B730" s="133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GE730" s="133"/>
      <c r="GF730" s="133"/>
      <c r="GG730" s="133"/>
      <c r="GH730" s="133"/>
      <c r="GI730" s="133"/>
      <c r="GJ730" s="133"/>
      <c r="GK730" s="133"/>
      <c r="GL730" s="133"/>
      <c r="GM730" s="133"/>
      <c r="GN730" s="133"/>
      <c r="GO730" s="133"/>
      <c r="GP730" s="133"/>
      <c r="GQ730" s="133"/>
      <c r="GR730" s="133"/>
      <c r="GS730" s="133"/>
      <c r="GT730" s="133"/>
      <c r="GU730" s="133"/>
      <c r="GV730" s="133"/>
      <c r="GW730" s="133"/>
      <c r="GX730" s="133"/>
      <c r="GY730" s="133"/>
      <c r="GZ730" s="133"/>
      <c r="HA730" s="133"/>
      <c r="HB730" s="133"/>
      <c r="HC730" s="133"/>
      <c r="HD730" s="133"/>
      <c r="HE730" s="133"/>
      <c r="HF730" s="133"/>
      <c r="HG730" s="133"/>
      <c r="HH730" s="133"/>
      <c r="HI730" s="133"/>
      <c r="HJ730" s="133"/>
      <c r="HK730" s="133"/>
      <c r="HL730" s="133"/>
      <c r="HM730" s="133"/>
      <c r="HN730" s="133"/>
      <c r="HO730" s="133"/>
      <c r="HP730" s="133"/>
      <c r="HQ730" s="133"/>
      <c r="HR730" s="133"/>
      <c r="HS730" s="133"/>
      <c r="HT730" s="133"/>
      <c r="HU730" s="133"/>
      <c r="HV730" s="133"/>
      <c r="HW730" s="133"/>
      <c r="HX730" s="133"/>
      <c r="HY730" s="133"/>
      <c r="HZ730" s="133"/>
      <c r="IA730" s="133"/>
      <c r="IB730" s="133"/>
      <c r="IC730" s="133"/>
      <c r="ID730" s="133"/>
      <c r="IE730" s="133"/>
      <c r="IF730" s="133"/>
      <c r="IG730" s="133"/>
      <c r="IH730" s="133"/>
      <c r="II730" s="133"/>
      <c r="IJ730" s="133"/>
      <c r="IK730" s="133"/>
      <c r="IL730" s="133"/>
      <c r="IM730" s="133"/>
      <c r="IN730" s="133"/>
      <c r="IO730" s="133"/>
      <c r="IP730" s="133"/>
      <c r="IQ730" s="133"/>
      <c r="IR730" s="133"/>
      <c r="IS730" s="133"/>
      <c r="IT730" s="133"/>
      <c r="IU730" s="133"/>
      <c r="IV730" s="133"/>
    </row>
    <row r="731" spans="1:256" s="132" customFormat="1" ht="13.8">
      <c r="A731" s="133"/>
      <c r="B731" s="133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GE731" s="133"/>
      <c r="GF731" s="133"/>
      <c r="GG731" s="133"/>
      <c r="GH731" s="133"/>
      <c r="GI731" s="133"/>
      <c r="GJ731" s="133"/>
      <c r="GK731" s="133"/>
      <c r="GL731" s="133"/>
      <c r="GM731" s="133"/>
      <c r="GN731" s="133"/>
      <c r="GO731" s="133"/>
      <c r="GP731" s="133"/>
      <c r="GQ731" s="133"/>
      <c r="GR731" s="133"/>
      <c r="GS731" s="133"/>
      <c r="GT731" s="133"/>
      <c r="GU731" s="133"/>
      <c r="GV731" s="133"/>
      <c r="GW731" s="133"/>
      <c r="GX731" s="133"/>
      <c r="GY731" s="133"/>
      <c r="GZ731" s="133"/>
      <c r="HA731" s="133"/>
      <c r="HB731" s="133"/>
      <c r="HC731" s="133"/>
      <c r="HD731" s="133"/>
      <c r="HE731" s="133"/>
      <c r="HF731" s="133"/>
      <c r="HG731" s="133"/>
      <c r="HH731" s="133"/>
      <c r="HI731" s="133"/>
      <c r="HJ731" s="133"/>
      <c r="HK731" s="133"/>
      <c r="HL731" s="133"/>
      <c r="HM731" s="133"/>
      <c r="HN731" s="133"/>
      <c r="HO731" s="133"/>
      <c r="HP731" s="133"/>
      <c r="HQ731" s="133"/>
      <c r="HR731" s="133"/>
      <c r="HS731" s="133"/>
      <c r="HT731" s="133"/>
      <c r="HU731" s="133"/>
      <c r="HV731" s="133"/>
      <c r="HW731" s="133"/>
      <c r="HX731" s="133"/>
      <c r="HY731" s="133"/>
      <c r="HZ731" s="133"/>
      <c r="IA731" s="133"/>
      <c r="IB731" s="133"/>
      <c r="IC731" s="133"/>
      <c r="ID731" s="133"/>
      <c r="IE731" s="133"/>
      <c r="IF731" s="133"/>
      <c r="IG731" s="133"/>
      <c r="IH731" s="133"/>
      <c r="II731" s="133"/>
      <c r="IJ731" s="133"/>
      <c r="IK731" s="133"/>
      <c r="IL731" s="133"/>
      <c r="IM731" s="133"/>
      <c r="IN731" s="133"/>
      <c r="IO731" s="133"/>
      <c r="IP731" s="133"/>
      <c r="IQ731" s="133"/>
      <c r="IR731" s="133"/>
      <c r="IS731" s="133"/>
      <c r="IT731" s="133"/>
      <c r="IU731" s="133"/>
      <c r="IV731" s="133"/>
    </row>
    <row r="732" spans="1:256" s="132" customFormat="1" ht="13.8">
      <c r="A732" s="133"/>
      <c r="B732" s="133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GE732" s="133"/>
      <c r="GF732" s="133"/>
      <c r="GG732" s="133"/>
      <c r="GH732" s="133"/>
      <c r="GI732" s="133"/>
      <c r="GJ732" s="133"/>
      <c r="GK732" s="133"/>
      <c r="GL732" s="133"/>
      <c r="GM732" s="133"/>
      <c r="GN732" s="133"/>
      <c r="GO732" s="133"/>
      <c r="GP732" s="133"/>
      <c r="GQ732" s="133"/>
      <c r="GR732" s="133"/>
      <c r="GS732" s="133"/>
      <c r="GT732" s="133"/>
      <c r="GU732" s="133"/>
      <c r="GV732" s="133"/>
      <c r="GW732" s="133"/>
      <c r="GX732" s="133"/>
      <c r="GY732" s="133"/>
      <c r="GZ732" s="133"/>
      <c r="HA732" s="133"/>
      <c r="HB732" s="133"/>
      <c r="HC732" s="133"/>
      <c r="HD732" s="133"/>
      <c r="HE732" s="133"/>
      <c r="HF732" s="133"/>
      <c r="HG732" s="133"/>
      <c r="HH732" s="133"/>
      <c r="HI732" s="133"/>
      <c r="HJ732" s="133"/>
      <c r="HK732" s="133"/>
      <c r="HL732" s="133"/>
      <c r="HM732" s="133"/>
      <c r="HN732" s="133"/>
      <c r="HO732" s="133"/>
      <c r="HP732" s="133"/>
      <c r="HQ732" s="133"/>
      <c r="HR732" s="133"/>
      <c r="HS732" s="133"/>
      <c r="HT732" s="133"/>
      <c r="HU732" s="133"/>
      <c r="HV732" s="133"/>
      <c r="HW732" s="133"/>
      <c r="HX732" s="133"/>
      <c r="HY732" s="133"/>
      <c r="HZ732" s="133"/>
      <c r="IA732" s="133"/>
      <c r="IB732" s="133"/>
      <c r="IC732" s="133"/>
      <c r="ID732" s="133"/>
      <c r="IE732" s="133"/>
      <c r="IF732" s="133"/>
      <c r="IG732" s="133"/>
      <c r="IH732" s="133"/>
      <c r="II732" s="133"/>
      <c r="IJ732" s="133"/>
      <c r="IK732" s="133"/>
      <c r="IL732" s="133"/>
      <c r="IM732" s="133"/>
      <c r="IN732" s="133"/>
      <c r="IO732" s="133"/>
      <c r="IP732" s="133"/>
      <c r="IQ732" s="133"/>
      <c r="IR732" s="133"/>
      <c r="IS732" s="133"/>
      <c r="IT732" s="133"/>
      <c r="IU732" s="133"/>
      <c r="IV732" s="133"/>
    </row>
    <row r="733" spans="1:256" s="132" customFormat="1" ht="13.8">
      <c r="A733" s="133"/>
      <c r="B733" s="133"/>
      <c r="C733" s="133"/>
      <c r="D733" s="133"/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GE733" s="133"/>
      <c r="GF733" s="133"/>
      <c r="GG733" s="133"/>
      <c r="GH733" s="133"/>
      <c r="GI733" s="133"/>
      <c r="GJ733" s="133"/>
      <c r="GK733" s="133"/>
      <c r="GL733" s="133"/>
      <c r="GM733" s="133"/>
      <c r="GN733" s="133"/>
      <c r="GO733" s="133"/>
      <c r="GP733" s="133"/>
      <c r="GQ733" s="133"/>
      <c r="GR733" s="133"/>
      <c r="GS733" s="133"/>
      <c r="GT733" s="133"/>
      <c r="GU733" s="133"/>
      <c r="GV733" s="133"/>
      <c r="GW733" s="133"/>
      <c r="GX733" s="133"/>
      <c r="GY733" s="133"/>
      <c r="GZ733" s="133"/>
      <c r="HA733" s="133"/>
      <c r="HB733" s="133"/>
      <c r="HC733" s="133"/>
      <c r="HD733" s="133"/>
      <c r="HE733" s="133"/>
      <c r="HF733" s="133"/>
      <c r="HG733" s="133"/>
      <c r="HH733" s="133"/>
      <c r="HI733" s="133"/>
      <c r="HJ733" s="133"/>
      <c r="HK733" s="133"/>
      <c r="HL733" s="133"/>
      <c r="HM733" s="133"/>
      <c r="HN733" s="133"/>
      <c r="HO733" s="133"/>
      <c r="HP733" s="133"/>
      <c r="HQ733" s="133"/>
      <c r="HR733" s="133"/>
      <c r="HS733" s="133"/>
      <c r="HT733" s="133"/>
      <c r="HU733" s="133"/>
      <c r="HV733" s="133"/>
      <c r="HW733" s="133"/>
      <c r="HX733" s="133"/>
      <c r="HY733" s="133"/>
      <c r="HZ733" s="133"/>
      <c r="IA733" s="133"/>
      <c r="IB733" s="133"/>
      <c r="IC733" s="133"/>
      <c r="ID733" s="133"/>
      <c r="IE733" s="133"/>
      <c r="IF733" s="133"/>
      <c r="IG733" s="133"/>
      <c r="IH733" s="133"/>
      <c r="II733" s="133"/>
      <c r="IJ733" s="133"/>
      <c r="IK733" s="133"/>
      <c r="IL733" s="133"/>
      <c r="IM733" s="133"/>
      <c r="IN733" s="133"/>
      <c r="IO733" s="133"/>
      <c r="IP733" s="133"/>
      <c r="IQ733" s="133"/>
      <c r="IR733" s="133"/>
      <c r="IS733" s="133"/>
      <c r="IT733" s="133"/>
      <c r="IU733" s="133"/>
      <c r="IV733" s="133"/>
    </row>
    <row r="734" spans="1:256" s="132" customFormat="1" ht="13.8">
      <c r="A734" s="133"/>
      <c r="B734" s="133"/>
      <c r="C734" s="133"/>
      <c r="D734" s="133"/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GE734" s="133"/>
      <c r="GF734" s="133"/>
      <c r="GG734" s="133"/>
      <c r="GH734" s="133"/>
      <c r="GI734" s="133"/>
      <c r="GJ734" s="133"/>
      <c r="GK734" s="133"/>
      <c r="GL734" s="133"/>
      <c r="GM734" s="133"/>
      <c r="GN734" s="133"/>
      <c r="GO734" s="133"/>
      <c r="GP734" s="133"/>
      <c r="GQ734" s="133"/>
      <c r="GR734" s="133"/>
      <c r="GS734" s="133"/>
      <c r="GT734" s="133"/>
      <c r="GU734" s="133"/>
      <c r="GV734" s="133"/>
      <c r="GW734" s="133"/>
      <c r="GX734" s="133"/>
      <c r="GY734" s="133"/>
      <c r="GZ734" s="133"/>
      <c r="HA734" s="133"/>
      <c r="HB734" s="133"/>
      <c r="HC734" s="133"/>
      <c r="HD734" s="133"/>
      <c r="HE734" s="133"/>
      <c r="HF734" s="133"/>
      <c r="HG734" s="133"/>
      <c r="HH734" s="133"/>
      <c r="HI734" s="133"/>
      <c r="HJ734" s="133"/>
      <c r="HK734" s="133"/>
      <c r="HL734" s="133"/>
      <c r="HM734" s="133"/>
      <c r="HN734" s="133"/>
      <c r="HO734" s="133"/>
      <c r="HP734" s="133"/>
      <c r="HQ734" s="133"/>
      <c r="HR734" s="133"/>
      <c r="HS734" s="133"/>
      <c r="HT734" s="133"/>
      <c r="HU734" s="133"/>
      <c r="HV734" s="133"/>
      <c r="HW734" s="133"/>
      <c r="HX734" s="133"/>
      <c r="HY734" s="133"/>
      <c r="HZ734" s="133"/>
      <c r="IA734" s="133"/>
      <c r="IB734" s="133"/>
      <c r="IC734" s="133"/>
      <c r="ID734" s="133"/>
      <c r="IE734" s="133"/>
      <c r="IF734" s="133"/>
      <c r="IG734" s="133"/>
      <c r="IH734" s="133"/>
      <c r="II734" s="133"/>
      <c r="IJ734" s="133"/>
      <c r="IK734" s="133"/>
      <c r="IL734" s="133"/>
      <c r="IM734" s="133"/>
      <c r="IN734" s="133"/>
      <c r="IO734" s="133"/>
      <c r="IP734" s="133"/>
      <c r="IQ734" s="133"/>
      <c r="IR734" s="133"/>
      <c r="IS734" s="133"/>
      <c r="IT734" s="133"/>
      <c r="IU734" s="133"/>
      <c r="IV734" s="133"/>
    </row>
    <row r="735" spans="1:256" s="132" customFormat="1" ht="13.8">
      <c r="A735" s="133"/>
      <c r="B735" s="133"/>
      <c r="C735" s="133"/>
      <c r="D735" s="133"/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GE735" s="133"/>
      <c r="GF735" s="133"/>
      <c r="GG735" s="133"/>
      <c r="GH735" s="133"/>
      <c r="GI735" s="133"/>
      <c r="GJ735" s="133"/>
      <c r="GK735" s="133"/>
      <c r="GL735" s="133"/>
      <c r="GM735" s="133"/>
      <c r="GN735" s="133"/>
      <c r="GO735" s="133"/>
      <c r="GP735" s="133"/>
      <c r="GQ735" s="133"/>
      <c r="GR735" s="133"/>
      <c r="GS735" s="133"/>
      <c r="GT735" s="133"/>
      <c r="GU735" s="133"/>
      <c r="GV735" s="133"/>
      <c r="GW735" s="133"/>
      <c r="GX735" s="133"/>
      <c r="GY735" s="133"/>
      <c r="GZ735" s="133"/>
      <c r="HA735" s="133"/>
      <c r="HB735" s="133"/>
      <c r="HC735" s="133"/>
      <c r="HD735" s="133"/>
      <c r="HE735" s="133"/>
      <c r="HF735" s="133"/>
      <c r="HG735" s="133"/>
      <c r="HH735" s="133"/>
      <c r="HI735" s="133"/>
      <c r="HJ735" s="133"/>
      <c r="HK735" s="133"/>
      <c r="HL735" s="133"/>
      <c r="HM735" s="133"/>
      <c r="HN735" s="133"/>
      <c r="HO735" s="133"/>
      <c r="HP735" s="133"/>
      <c r="HQ735" s="133"/>
      <c r="HR735" s="133"/>
      <c r="HS735" s="133"/>
      <c r="HT735" s="133"/>
      <c r="HU735" s="133"/>
      <c r="HV735" s="133"/>
      <c r="HW735" s="133"/>
      <c r="HX735" s="133"/>
      <c r="HY735" s="133"/>
      <c r="HZ735" s="133"/>
      <c r="IA735" s="133"/>
      <c r="IB735" s="133"/>
      <c r="IC735" s="133"/>
      <c r="ID735" s="133"/>
      <c r="IE735" s="133"/>
      <c r="IF735" s="133"/>
      <c r="IG735" s="133"/>
      <c r="IH735" s="133"/>
      <c r="II735" s="133"/>
      <c r="IJ735" s="133"/>
      <c r="IK735" s="133"/>
      <c r="IL735" s="133"/>
      <c r="IM735" s="133"/>
      <c r="IN735" s="133"/>
      <c r="IO735" s="133"/>
      <c r="IP735" s="133"/>
      <c r="IQ735" s="133"/>
      <c r="IR735" s="133"/>
      <c r="IS735" s="133"/>
      <c r="IT735" s="133"/>
      <c r="IU735" s="133"/>
      <c r="IV735" s="133"/>
    </row>
    <row r="736" spans="1:256" s="132" customFormat="1" ht="13.8">
      <c r="A736" s="133"/>
      <c r="B736" s="133"/>
      <c r="C736" s="133"/>
      <c r="D736" s="133"/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GE736" s="133"/>
      <c r="GF736" s="133"/>
      <c r="GG736" s="133"/>
      <c r="GH736" s="133"/>
      <c r="GI736" s="133"/>
      <c r="GJ736" s="133"/>
      <c r="GK736" s="133"/>
      <c r="GL736" s="133"/>
      <c r="GM736" s="133"/>
      <c r="GN736" s="133"/>
      <c r="GO736" s="133"/>
      <c r="GP736" s="133"/>
      <c r="GQ736" s="133"/>
      <c r="GR736" s="133"/>
      <c r="GS736" s="133"/>
      <c r="GT736" s="133"/>
      <c r="GU736" s="133"/>
      <c r="GV736" s="133"/>
      <c r="GW736" s="133"/>
      <c r="GX736" s="133"/>
      <c r="GY736" s="133"/>
      <c r="GZ736" s="133"/>
      <c r="HA736" s="133"/>
      <c r="HB736" s="133"/>
      <c r="HC736" s="133"/>
      <c r="HD736" s="133"/>
      <c r="HE736" s="133"/>
      <c r="HF736" s="133"/>
      <c r="HG736" s="133"/>
      <c r="HH736" s="133"/>
      <c r="HI736" s="133"/>
      <c r="HJ736" s="133"/>
      <c r="HK736" s="133"/>
      <c r="HL736" s="133"/>
      <c r="HM736" s="133"/>
      <c r="HN736" s="133"/>
      <c r="HO736" s="133"/>
      <c r="HP736" s="133"/>
      <c r="HQ736" s="133"/>
      <c r="HR736" s="133"/>
      <c r="HS736" s="133"/>
      <c r="HT736" s="133"/>
      <c r="HU736" s="133"/>
      <c r="HV736" s="133"/>
      <c r="HW736" s="133"/>
      <c r="HX736" s="133"/>
      <c r="HY736" s="133"/>
      <c r="HZ736" s="133"/>
      <c r="IA736" s="133"/>
      <c r="IB736" s="133"/>
      <c r="IC736" s="133"/>
      <c r="ID736" s="133"/>
      <c r="IE736" s="133"/>
      <c r="IF736" s="133"/>
      <c r="IG736" s="133"/>
      <c r="IH736" s="133"/>
      <c r="II736" s="133"/>
      <c r="IJ736" s="133"/>
      <c r="IK736" s="133"/>
      <c r="IL736" s="133"/>
      <c r="IM736" s="133"/>
      <c r="IN736" s="133"/>
      <c r="IO736" s="133"/>
      <c r="IP736" s="133"/>
      <c r="IQ736" s="133"/>
      <c r="IR736" s="133"/>
      <c r="IS736" s="133"/>
      <c r="IT736" s="133"/>
      <c r="IU736" s="133"/>
      <c r="IV736" s="133"/>
    </row>
    <row r="737" spans="1:256" s="132" customFormat="1" ht="13.8">
      <c r="A737" s="133"/>
      <c r="B737" s="133"/>
      <c r="C737" s="133"/>
      <c r="D737" s="133"/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GE737" s="133"/>
      <c r="GF737" s="133"/>
      <c r="GG737" s="133"/>
      <c r="GH737" s="133"/>
      <c r="GI737" s="133"/>
      <c r="GJ737" s="133"/>
      <c r="GK737" s="133"/>
      <c r="GL737" s="133"/>
      <c r="GM737" s="133"/>
      <c r="GN737" s="133"/>
      <c r="GO737" s="133"/>
      <c r="GP737" s="133"/>
      <c r="GQ737" s="133"/>
      <c r="GR737" s="133"/>
      <c r="GS737" s="133"/>
      <c r="GT737" s="133"/>
      <c r="GU737" s="133"/>
      <c r="GV737" s="133"/>
      <c r="GW737" s="133"/>
      <c r="GX737" s="133"/>
      <c r="GY737" s="133"/>
      <c r="GZ737" s="133"/>
      <c r="HA737" s="133"/>
      <c r="HB737" s="133"/>
      <c r="HC737" s="133"/>
      <c r="HD737" s="133"/>
      <c r="HE737" s="133"/>
      <c r="HF737" s="133"/>
      <c r="HG737" s="133"/>
      <c r="HH737" s="133"/>
      <c r="HI737" s="133"/>
      <c r="HJ737" s="133"/>
      <c r="HK737" s="133"/>
      <c r="HL737" s="133"/>
      <c r="HM737" s="133"/>
      <c r="HN737" s="133"/>
      <c r="HO737" s="133"/>
      <c r="HP737" s="133"/>
      <c r="HQ737" s="133"/>
      <c r="HR737" s="133"/>
      <c r="HS737" s="133"/>
      <c r="HT737" s="133"/>
      <c r="HU737" s="133"/>
      <c r="HV737" s="133"/>
      <c r="HW737" s="133"/>
      <c r="HX737" s="133"/>
      <c r="HY737" s="133"/>
      <c r="HZ737" s="133"/>
      <c r="IA737" s="133"/>
      <c r="IB737" s="133"/>
      <c r="IC737" s="133"/>
      <c r="ID737" s="133"/>
      <c r="IE737" s="133"/>
      <c r="IF737" s="133"/>
      <c r="IG737" s="133"/>
      <c r="IH737" s="133"/>
      <c r="II737" s="133"/>
      <c r="IJ737" s="133"/>
      <c r="IK737" s="133"/>
      <c r="IL737" s="133"/>
      <c r="IM737" s="133"/>
      <c r="IN737" s="133"/>
      <c r="IO737" s="133"/>
      <c r="IP737" s="133"/>
      <c r="IQ737" s="133"/>
      <c r="IR737" s="133"/>
      <c r="IS737" s="133"/>
      <c r="IT737" s="133"/>
      <c r="IU737" s="133"/>
      <c r="IV737" s="133"/>
    </row>
    <row r="738" spans="1:256" s="132" customFormat="1" ht="13.8">
      <c r="A738" s="133"/>
      <c r="B738" s="133"/>
      <c r="C738" s="133"/>
      <c r="D738" s="133"/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GE738" s="133"/>
      <c r="GF738" s="133"/>
      <c r="GG738" s="133"/>
      <c r="GH738" s="133"/>
      <c r="GI738" s="133"/>
      <c r="GJ738" s="133"/>
      <c r="GK738" s="133"/>
      <c r="GL738" s="133"/>
      <c r="GM738" s="133"/>
      <c r="GN738" s="133"/>
      <c r="GO738" s="133"/>
      <c r="GP738" s="133"/>
      <c r="GQ738" s="133"/>
      <c r="GR738" s="133"/>
      <c r="GS738" s="133"/>
      <c r="GT738" s="133"/>
      <c r="GU738" s="133"/>
      <c r="GV738" s="133"/>
      <c r="GW738" s="133"/>
      <c r="GX738" s="133"/>
      <c r="GY738" s="133"/>
      <c r="GZ738" s="133"/>
      <c r="HA738" s="133"/>
      <c r="HB738" s="133"/>
      <c r="HC738" s="133"/>
      <c r="HD738" s="133"/>
      <c r="HE738" s="133"/>
      <c r="HF738" s="133"/>
      <c r="HG738" s="133"/>
      <c r="HH738" s="133"/>
      <c r="HI738" s="133"/>
      <c r="HJ738" s="133"/>
      <c r="HK738" s="133"/>
      <c r="HL738" s="133"/>
      <c r="HM738" s="133"/>
      <c r="HN738" s="133"/>
      <c r="HO738" s="133"/>
      <c r="HP738" s="133"/>
      <c r="HQ738" s="133"/>
      <c r="HR738" s="133"/>
      <c r="HS738" s="133"/>
      <c r="HT738" s="133"/>
      <c r="HU738" s="133"/>
      <c r="HV738" s="133"/>
      <c r="HW738" s="133"/>
      <c r="HX738" s="133"/>
      <c r="HY738" s="133"/>
      <c r="HZ738" s="133"/>
      <c r="IA738" s="133"/>
      <c r="IB738" s="133"/>
      <c r="IC738" s="133"/>
      <c r="ID738" s="133"/>
      <c r="IE738" s="133"/>
      <c r="IF738" s="133"/>
      <c r="IG738" s="133"/>
      <c r="IH738" s="133"/>
      <c r="II738" s="133"/>
      <c r="IJ738" s="133"/>
      <c r="IK738" s="133"/>
      <c r="IL738" s="133"/>
      <c r="IM738" s="133"/>
      <c r="IN738" s="133"/>
      <c r="IO738" s="133"/>
      <c r="IP738" s="133"/>
      <c r="IQ738" s="133"/>
      <c r="IR738" s="133"/>
      <c r="IS738" s="133"/>
      <c r="IT738" s="133"/>
      <c r="IU738" s="133"/>
      <c r="IV738" s="133"/>
    </row>
    <row r="739" spans="1:256" s="132" customFormat="1" ht="13.8">
      <c r="A739" s="133"/>
      <c r="B739" s="133"/>
      <c r="C739" s="133"/>
      <c r="D739" s="133"/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GE739" s="133"/>
      <c r="GF739" s="133"/>
      <c r="GG739" s="133"/>
      <c r="GH739" s="133"/>
      <c r="GI739" s="133"/>
      <c r="GJ739" s="133"/>
      <c r="GK739" s="133"/>
      <c r="GL739" s="133"/>
      <c r="GM739" s="133"/>
      <c r="GN739" s="133"/>
      <c r="GO739" s="133"/>
      <c r="GP739" s="133"/>
      <c r="GQ739" s="133"/>
      <c r="GR739" s="133"/>
      <c r="GS739" s="133"/>
      <c r="GT739" s="133"/>
      <c r="GU739" s="133"/>
      <c r="GV739" s="133"/>
      <c r="GW739" s="133"/>
      <c r="GX739" s="133"/>
      <c r="GY739" s="133"/>
      <c r="GZ739" s="133"/>
      <c r="HA739" s="133"/>
      <c r="HB739" s="133"/>
      <c r="HC739" s="133"/>
      <c r="HD739" s="133"/>
      <c r="HE739" s="133"/>
      <c r="HF739" s="133"/>
      <c r="HG739" s="133"/>
      <c r="HH739" s="133"/>
      <c r="HI739" s="133"/>
      <c r="HJ739" s="133"/>
      <c r="HK739" s="133"/>
      <c r="HL739" s="133"/>
      <c r="HM739" s="133"/>
      <c r="HN739" s="133"/>
      <c r="HO739" s="133"/>
      <c r="HP739" s="133"/>
      <c r="HQ739" s="133"/>
      <c r="HR739" s="133"/>
      <c r="HS739" s="133"/>
      <c r="HT739" s="133"/>
      <c r="HU739" s="133"/>
      <c r="HV739" s="133"/>
      <c r="HW739" s="133"/>
      <c r="HX739" s="133"/>
      <c r="HY739" s="133"/>
      <c r="HZ739" s="133"/>
      <c r="IA739" s="133"/>
      <c r="IB739" s="133"/>
      <c r="IC739" s="133"/>
      <c r="ID739" s="133"/>
      <c r="IE739" s="133"/>
      <c r="IF739" s="133"/>
      <c r="IG739" s="133"/>
      <c r="IH739" s="133"/>
      <c r="II739" s="133"/>
      <c r="IJ739" s="133"/>
      <c r="IK739" s="133"/>
      <c r="IL739" s="133"/>
      <c r="IM739" s="133"/>
      <c r="IN739" s="133"/>
      <c r="IO739" s="133"/>
      <c r="IP739" s="133"/>
      <c r="IQ739" s="133"/>
      <c r="IR739" s="133"/>
      <c r="IS739" s="133"/>
      <c r="IT739" s="133"/>
      <c r="IU739" s="133"/>
      <c r="IV739" s="133"/>
    </row>
    <row r="740" spans="1:256" s="132" customFormat="1" ht="13.8">
      <c r="A740" s="133"/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GE740" s="133"/>
      <c r="GF740" s="133"/>
      <c r="GG740" s="133"/>
      <c r="GH740" s="133"/>
      <c r="GI740" s="133"/>
      <c r="GJ740" s="133"/>
      <c r="GK740" s="133"/>
      <c r="GL740" s="133"/>
      <c r="GM740" s="133"/>
      <c r="GN740" s="133"/>
      <c r="GO740" s="133"/>
      <c r="GP740" s="133"/>
      <c r="GQ740" s="133"/>
      <c r="GR740" s="133"/>
      <c r="GS740" s="133"/>
      <c r="GT740" s="133"/>
      <c r="GU740" s="133"/>
      <c r="GV740" s="133"/>
      <c r="GW740" s="133"/>
      <c r="GX740" s="133"/>
      <c r="GY740" s="133"/>
      <c r="GZ740" s="133"/>
      <c r="HA740" s="133"/>
      <c r="HB740" s="133"/>
      <c r="HC740" s="133"/>
      <c r="HD740" s="133"/>
      <c r="HE740" s="133"/>
      <c r="HF740" s="133"/>
      <c r="HG740" s="133"/>
      <c r="HH740" s="133"/>
      <c r="HI740" s="133"/>
      <c r="HJ740" s="133"/>
      <c r="HK740" s="133"/>
      <c r="HL740" s="133"/>
      <c r="HM740" s="133"/>
      <c r="HN740" s="133"/>
      <c r="HO740" s="133"/>
      <c r="HP740" s="133"/>
      <c r="HQ740" s="133"/>
      <c r="HR740" s="133"/>
      <c r="HS740" s="133"/>
      <c r="HT740" s="133"/>
      <c r="HU740" s="133"/>
      <c r="HV740" s="133"/>
      <c r="HW740" s="133"/>
      <c r="HX740" s="133"/>
      <c r="HY740" s="133"/>
      <c r="HZ740" s="133"/>
      <c r="IA740" s="133"/>
      <c r="IB740" s="133"/>
      <c r="IC740" s="133"/>
      <c r="ID740" s="133"/>
      <c r="IE740" s="133"/>
      <c r="IF740" s="133"/>
      <c r="IG740" s="133"/>
      <c r="IH740" s="133"/>
      <c r="II740" s="133"/>
      <c r="IJ740" s="133"/>
      <c r="IK740" s="133"/>
      <c r="IL740" s="133"/>
      <c r="IM740" s="133"/>
      <c r="IN740" s="133"/>
      <c r="IO740" s="133"/>
      <c r="IP740" s="133"/>
      <c r="IQ740" s="133"/>
      <c r="IR740" s="133"/>
      <c r="IS740" s="133"/>
      <c r="IT740" s="133"/>
      <c r="IU740" s="133"/>
      <c r="IV740" s="133"/>
    </row>
    <row r="741" spans="1:256" s="132" customFormat="1" ht="13.8">
      <c r="A741" s="133"/>
      <c r="B741" s="133"/>
      <c r="C741" s="133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GE741" s="133"/>
      <c r="GF741" s="133"/>
      <c r="GG741" s="133"/>
      <c r="GH741" s="133"/>
      <c r="GI741" s="133"/>
      <c r="GJ741" s="133"/>
      <c r="GK741" s="133"/>
      <c r="GL741" s="133"/>
      <c r="GM741" s="133"/>
      <c r="GN741" s="133"/>
      <c r="GO741" s="133"/>
      <c r="GP741" s="133"/>
      <c r="GQ741" s="133"/>
      <c r="GR741" s="133"/>
      <c r="GS741" s="133"/>
      <c r="GT741" s="133"/>
      <c r="GU741" s="133"/>
      <c r="GV741" s="133"/>
      <c r="GW741" s="133"/>
      <c r="GX741" s="133"/>
      <c r="GY741" s="133"/>
      <c r="GZ741" s="133"/>
      <c r="HA741" s="133"/>
      <c r="HB741" s="133"/>
      <c r="HC741" s="133"/>
      <c r="HD741" s="133"/>
      <c r="HE741" s="133"/>
      <c r="HF741" s="133"/>
      <c r="HG741" s="133"/>
      <c r="HH741" s="133"/>
      <c r="HI741" s="133"/>
      <c r="HJ741" s="133"/>
      <c r="HK741" s="133"/>
      <c r="HL741" s="133"/>
      <c r="HM741" s="133"/>
      <c r="HN741" s="133"/>
      <c r="HO741" s="133"/>
      <c r="HP741" s="133"/>
      <c r="HQ741" s="133"/>
      <c r="HR741" s="133"/>
      <c r="HS741" s="133"/>
      <c r="HT741" s="133"/>
      <c r="HU741" s="133"/>
      <c r="HV741" s="133"/>
      <c r="HW741" s="133"/>
      <c r="HX741" s="133"/>
      <c r="HY741" s="133"/>
      <c r="HZ741" s="133"/>
      <c r="IA741" s="133"/>
      <c r="IB741" s="133"/>
      <c r="IC741" s="133"/>
      <c r="ID741" s="133"/>
      <c r="IE741" s="133"/>
      <c r="IF741" s="133"/>
      <c r="IG741" s="133"/>
      <c r="IH741" s="133"/>
      <c r="II741" s="133"/>
      <c r="IJ741" s="133"/>
      <c r="IK741" s="133"/>
      <c r="IL741" s="133"/>
      <c r="IM741" s="133"/>
      <c r="IN741" s="133"/>
      <c r="IO741" s="133"/>
      <c r="IP741" s="133"/>
      <c r="IQ741" s="133"/>
      <c r="IR741" s="133"/>
      <c r="IS741" s="133"/>
      <c r="IT741" s="133"/>
      <c r="IU741" s="133"/>
      <c r="IV741" s="133"/>
    </row>
    <row r="742" spans="1:256" s="132" customFormat="1" ht="13.8">
      <c r="A742" s="133"/>
      <c r="B742" s="133"/>
      <c r="C742" s="133"/>
      <c r="D742" s="133"/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GE742" s="133"/>
      <c r="GF742" s="133"/>
      <c r="GG742" s="133"/>
      <c r="GH742" s="133"/>
      <c r="GI742" s="133"/>
      <c r="GJ742" s="133"/>
      <c r="GK742" s="133"/>
      <c r="GL742" s="133"/>
      <c r="GM742" s="133"/>
      <c r="GN742" s="133"/>
      <c r="GO742" s="133"/>
      <c r="GP742" s="133"/>
      <c r="GQ742" s="133"/>
      <c r="GR742" s="133"/>
      <c r="GS742" s="133"/>
      <c r="GT742" s="133"/>
      <c r="GU742" s="133"/>
      <c r="GV742" s="133"/>
      <c r="GW742" s="133"/>
      <c r="GX742" s="133"/>
      <c r="GY742" s="133"/>
      <c r="GZ742" s="133"/>
      <c r="HA742" s="133"/>
      <c r="HB742" s="133"/>
      <c r="HC742" s="133"/>
      <c r="HD742" s="133"/>
      <c r="HE742" s="133"/>
      <c r="HF742" s="133"/>
      <c r="HG742" s="133"/>
      <c r="HH742" s="133"/>
      <c r="HI742" s="133"/>
      <c r="HJ742" s="133"/>
      <c r="HK742" s="133"/>
      <c r="HL742" s="133"/>
      <c r="HM742" s="133"/>
      <c r="HN742" s="133"/>
      <c r="HO742" s="133"/>
      <c r="HP742" s="133"/>
      <c r="HQ742" s="133"/>
      <c r="HR742" s="133"/>
      <c r="HS742" s="133"/>
      <c r="HT742" s="133"/>
      <c r="HU742" s="133"/>
      <c r="HV742" s="133"/>
      <c r="HW742" s="133"/>
      <c r="HX742" s="133"/>
      <c r="HY742" s="133"/>
      <c r="HZ742" s="133"/>
      <c r="IA742" s="133"/>
      <c r="IB742" s="133"/>
      <c r="IC742" s="133"/>
      <c r="ID742" s="133"/>
      <c r="IE742" s="133"/>
      <c r="IF742" s="133"/>
      <c r="IG742" s="133"/>
      <c r="IH742" s="133"/>
      <c r="II742" s="133"/>
      <c r="IJ742" s="133"/>
      <c r="IK742" s="133"/>
      <c r="IL742" s="133"/>
      <c r="IM742" s="133"/>
      <c r="IN742" s="133"/>
      <c r="IO742" s="133"/>
      <c r="IP742" s="133"/>
      <c r="IQ742" s="133"/>
      <c r="IR742" s="133"/>
      <c r="IS742" s="133"/>
      <c r="IT742" s="133"/>
      <c r="IU742" s="133"/>
      <c r="IV742" s="133"/>
    </row>
    <row r="743" spans="1:256" s="132" customFormat="1" ht="13.8">
      <c r="A743" s="133"/>
      <c r="B743" s="133"/>
      <c r="C743" s="133"/>
      <c r="D743" s="133"/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GE743" s="133"/>
      <c r="GF743" s="133"/>
      <c r="GG743" s="133"/>
      <c r="GH743" s="133"/>
      <c r="GI743" s="133"/>
      <c r="GJ743" s="133"/>
      <c r="GK743" s="133"/>
      <c r="GL743" s="133"/>
      <c r="GM743" s="133"/>
      <c r="GN743" s="133"/>
      <c r="GO743" s="133"/>
      <c r="GP743" s="133"/>
      <c r="GQ743" s="133"/>
      <c r="GR743" s="133"/>
      <c r="GS743" s="133"/>
      <c r="GT743" s="133"/>
      <c r="GU743" s="133"/>
      <c r="GV743" s="133"/>
      <c r="GW743" s="133"/>
      <c r="GX743" s="133"/>
      <c r="GY743" s="133"/>
      <c r="GZ743" s="133"/>
      <c r="HA743" s="133"/>
      <c r="HB743" s="133"/>
      <c r="HC743" s="133"/>
      <c r="HD743" s="133"/>
      <c r="HE743" s="133"/>
      <c r="HF743" s="133"/>
      <c r="HG743" s="133"/>
      <c r="HH743" s="133"/>
      <c r="HI743" s="133"/>
      <c r="HJ743" s="133"/>
      <c r="HK743" s="133"/>
      <c r="HL743" s="133"/>
      <c r="HM743" s="133"/>
      <c r="HN743" s="133"/>
      <c r="HO743" s="133"/>
      <c r="HP743" s="133"/>
      <c r="HQ743" s="133"/>
      <c r="HR743" s="133"/>
      <c r="HS743" s="133"/>
      <c r="HT743" s="133"/>
      <c r="HU743" s="133"/>
      <c r="HV743" s="133"/>
      <c r="HW743" s="133"/>
      <c r="HX743" s="133"/>
      <c r="HY743" s="133"/>
      <c r="HZ743" s="133"/>
      <c r="IA743" s="133"/>
      <c r="IB743" s="133"/>
      <c r="IC743" s="133"/>
      <c r="ID743" s="133"/>
      <c r="IE743" s="133"/>
      <c r="IF743" s="133"/>
      <c r="IG743" s="133"/>
      <c r="IH743" s="133"/>
      <c r="II743" s="133"/>
      <c r="IJ743" s="133"/>
      <c r="IK743" s="133"/>
      <c r="IL743" s="133"/>
      <c r="IM743" s="133"/>
      <c r="IN743" s="133"/>
      <c r="IO743" s="133"/>
      <c r="IP743" s="133"/>
      <c r="IQ743" s="133"/>
      <c r="IR743" s="133"/>
      <c r="IS743" s="133"/>
      <c r="IT743" s="133"/>
      <c r="IU743" s="133"/>
      <c r="IV743" s="133"/>
    </row>
    <row r="744" spans="1:256" s="132" customFormat="1" ht="13.8">
      <c r="A744" s="133"/>
      <c r="B744" s="133"/>
      <c r="C744" s="133"/>
      <c r="D744" s="133"/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GE744" s="133"/>
      <c r="GF744" s="133"/>
      <c r="GG744" s="133"/>
      <c r="GH744" s="133"/>
      <c r="GI744" s="133"/>
      <c r="GJ744" s="133"/>
      <c r="GK744" s="133"/>
      <c r="GL744" s="133"/>
      <c r="GM744" s="133"/>
      <c r="GN744" s="133"/>
      <c r="GO744" s="133"/>
      <c r="GP744" s="133"/>
      <c r="GQ744" s="133"/>
      <c r="GR744" s="133"/>
      <c r="GS744" s="133"/>
      <c r="GT744" s="133"/>
      <c r="GU744" s="133"/>
      <c r="GV744" s="133"/>
      <c r="GW744" s="133"/>
      <c r="GX744" s="133"/>
      <c r="GY744" s="133"/>
      <c r="GZ744" s="133"/>
      <c r="HA744" s="133"/>
      <c r="HB744" s="133"/>
      <c r="HC744" s="133"/>
      <c r="HD744" s="133"/>
      <c r="HE744" s="133"/>
      <c r="HF744" s="133"/>
      <c r="HG744" s="133"/>
      <c r="HH744" s="133"/>
      <c r="HI744" s="133"/>
      <c r="HJ744" s="133"/>
      <c r="HK744" s="133"/>
      <c r="HL744" s="133"/>
      <c r="HM744" s="133"/>
      <c r="HN744" s="133"/>
      <c r="HO744" s="133"/>
      <c r="HP744" s="133"/>
      <c r="HQ744" s="133"/>
      <c r="HR744" s="133"/>
      <c r="HS744" s="133"/>
      <c r="HT744" s="133"/>
      <c r="HU744" s="133"/>
      <c r="HV744" s="133"/>
      <c r="HW744" s="133"/>
      <c r="HX744" s="133"/>
      <c r="HY744" s="133"/>
      <c r="HZ744" s="133"/>
      <c r="IA744" s="133"/>
      <c r="IB744" s="133"/>
      <c r="IC744" s="133"/>
      <c r="ID744" s="133"/>
      <c r="IE744" s="133"/>
      <c r="IF744" s="133"/>
      <c r="IG744" s="133"/>
      <c r="IH744" s="133"/>
      <c r="II744" s="133"/>
      <c r="IJ744" s="133"/>
      <c r="IK744" s="133"/>
      <c r="IL744" s="133"/>
      <c r="IM744" s="133"/>
      <c r="IN744" s="133"/>
      <c r="IO744" s="133"/>
      <c r="IP744" s="133"/>
      <c r="IQ744" s="133"/>
      <c r="IR744" s="133"/>
      <c r="IS744" s="133"/>
      <c r="IT744" s="133"/>
      <c r="IU744" s="133"/>
      <c r="IV744" s="133"/>
    </row>
    <row r="745" spans="1:256" s="132" customFormat="1" ht="13.8">
      <c r="A745" s="133"/>
      <c r="B745" s="133"/>
      <c r="C745" s="133"/>
      <c r="D745" s="133"/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GE745" s="133"/>
      <c r="GF745" s="133"/>
      <c r="GG745" s="133"/>
      <c r="GH745" s="133"/>
      <c r="GI745" s="133"/>
      <c r="GJ745" s="133"/>
      <c r="GK745" s="133"/>
      <c r="GL745" s="133"/>
      <c r="GM745" s="133"/>
      <c r="GN745" s="133"/>
      <c r="GO745" s="133"/>
      <c r="GP745" s="133"/>
      <c r="GQ745" s="133"/>
      <c r="GR745" s="133"/>
      <c r="GS745" s="133"/>
      <c r="GT745" s="133"/>
      <c r="GU745" s="133"/>
      <c r="GV745" s="133"/>
      <c r="GW745" s="133"/>
      <c r="GX745" s="133"/>
      <c r="GY745" s="133"/>
      <c r="GZ745" s="133"/>
      <c r="HA745" s="133"/>
      <c r="HB745" s="133"/>
      <c r="HC745" s="133"/>
      <c r="HD745" s="133"/>
      <c r="HE745" s="133"/>
      <c r="HF745" s="133"/>
      <c r="HG745" s="133"/>
      <c r="HH745" s="133"/>
      <c r="HI745" s="133"/>
      <c r="HJ745" s="133"/>
      <c r="HK745" s="133"/>
      <c r="HL745" s="133"/>
      <c r="HM745" s="133"/>
      <c r="HN745" s="133"/>
      <c r="HO745" s="133"/>
      <c r="HP745" s="133"/>
      <c r="HQ745" s="133"/>
      <c r="HR745" s="133"/>
      <c r="HS745" s="133"/>
      <c r="HT745" s="133"/>
      <c r="HU745" s="133"/>
      <c r="HV745" s="133"/>
      <c r="HW745" s="133"/>
      <c r="HX745" s="133"/>
      <c r="HY745" s="133"/>
      <c r="HZ745" s="133"/>
      <c r="IA745" s="133"/>
      <c r="IB745" s="133"/>
      <c r="IC745" s="133"/>
      <c r="ID745" s="133"/>
      <c r="IE745" s="133"/>
      <c r="IF745" s="133"/>
      <c r="IG745" s="133"/>
      <c r="IH745" s="133"/>
      <c r="II745" s="133"/>
      <c r="IJ745" s="133"/>
      <c r="IK745" s="133"/>
      <c r="IL745" s="133"/>
      <c r="IM745" s="133"/>
      <c r="IN745" s="133"/>
      <c r="IO745" s="133"/>
      <c r="IP745" s="133"/>
      <c r="IQ745" s="133"/>
      <c r="IR745" s="133"/>
      <c r="IS745" s="133"/>
      <c r="IT745" s="133"/>
      <c r="IU745" s="133"/>
      <c r="IV745" s="133"/>
    </row>
    <row r="746" spans="1:256" s="132" customFormat="1" ht="13.8">
      <c r="A746" s="133"/>
      <c r="B746" s="133"/>
      <c r="C746" s="133"/>
      <c r="D746" s="133"/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GE746" s="133"/>
      <c r="GF746" s="133"/>
      <c r="GG746" s="133"/>
      <c r="GH746" s="133"/>
      <c r="GI746" s="133"/>
      <c r="GJ746" s="133"/>
      <c r="GK746" s="133"/>
      <c r="GL746" s="133"/>
      <c r="GM746" s="133"/>
      <c r="GN746" s="133"/>
      <c r="GO746" s="133"/>
      <c r="GP746" s="133"/>
      <c r="GQ746" s="133"/>
      <c r="GR746" s="133"/>
      <c r="GS746" s="133"/>
      <c r="GT746" s="133"/>
      <c r="GU746" s="133"/>
      <c r="GV746" s="133"/>
      <c r="GW746" s="133"/>
      <c r="GX746" s="133"/>
      <c r="GY746" s="133"/>
      <c r="GZ746" s="133"/>
      <c r="HA746" s="133"/>
      <c r="HB746" s="133"/>
      <c r="HC746" s="133"/>
      <c r="HD746" s="133"/>
      <c r="HE746" s="133"/>
      <c r="HF746" s="133"/>
      <c r="HG746" s="133"/>
      <c r="HH746" s="133"/>
      <c r="HI746" s="133"/>
      <c r="HJ746" s="133"/>
      <c r="HK746" s="133"/>
      <c r="HL746" s="133"/>
      <c r="HM746" s="133"/>
      <c r="HN746" s="133"/>
      <c r="HO746" s="133"/>
      <c r="HP746" s="133"/>
      <c r="HQ746" s="133"/>
      <c r="HR746" s="133"/>
      <c r="HS746" s="133"/>
      <c r="HT746" s="133"/>
      <c r="HU746" s="133"/>
      <c r="HV746" s="133"/>
      <c r="HW746" s="133"/>
      <c r="HX746" s="133"/>
      <c r="HY746" s="133"/>
      <c r="HZ746" s="133"/>
      <c r="IA746" s="133"/>
      <c r="IB746" s="133"/>
      <c r="IC746" s="133"/>
      <c r="ID746" s="133"/>
      <c r="IE746" s="133"/>
      <c r="IF746" s="133"/>
      <c r="IG746" s="133"/>
      <c r="IH746" s="133"/>
      <c r="II746" s="133"/>
      <c r="IJ746" s="133"/>
      <c r="IK746" s="133"/>
      <c r="IL746" s="133"/>
      <c r="IM746" s="133"/>
      <c r="IN746" s="133"/>
      <c r="IO746" s="133"/>
      <c r="IP746" s="133"/>
      <c r="IQ746" s="133"/>
      <c r="IR746" s="133"/>
      <c r="IS746" s="133"/>
      <c r="IT746" s="133"/>
      <c r="IU746" s="133"/>
      <c r="IV746" s="133"/>
    </row>
    <row r="747" spans="1:256" s="132" customFormat="1" ht="13.8">
      <c r="A747" s="133"/>
      <c r="B747" s="133"/>
      <c r="C747" s="133"/>
      <c r="D747" s="133"/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GE747" s="133"/>
      <c r="GF747" s="133"/>
      <c r="GG747" s="133"/>
      <c r="GH747" s="133"/>
      <c r="GI747" s="133"/>
      <c r="GJ747" s="133"/>
      <c r="GK747" s="133"/>
      <c r="GL747" s="133"/>
      <c r="GM747" s="133"/>
      <c r="GN747" s="133"/>
      <c r="GO747" s="133"/>
      <c r="GP747" s="133"/>
      <c r="GQ747" s="133"/>
      <c r="GR747" s="133"/>
      <c r="GS747" s="133"/>
      <c r="GT747" s="133"/>
      <c r="GU747" s="133"/>
      <c r="GV747" s="133"/>
      <c r="GW747" s="133"/>
      <c r="GX747" s="133"/>
      <c r="GY747" s="133"/>
      <c r="GZ747" s="133"/>
      <c r="HA747" s="133"/>
      <c r="HB747" s="133"/>
      <c r="HC747" s="133"/>
      <c r="HD747" s="133"/>
      <c r="HE747" s="133"/>
      <c r="HF747" s="133"/>
      <c r="HG747" s="133"/>
      <c r="HH747" s="133"/>
      <c r="HI747" s="133"/>
      <c r="HJ747" s="133"/>
      <c r="HK747" s="133"/>
      <c r="HL747" s="133"/>
      <c r="HM747" s="133"/>
      <c r="HN747" s="133"/>
      <c r="HO747" s="133"/>
      <c r="HP747" s="133"/>
      <c r="HQ747" s="133"/>
      <c r="HR747" s="133"/>
      <c r="HS747" s="133"/>
      <c r="HT747" s="133"/>
      <c r="HU747" s="133"/>
      <c r="HV747" s="133"/>
      <c r="HW747" s="133"/>
      <c r="HX747" s="133"/>
      <c r="HY747" s="133"/>
      <c r="HZ747" s="133"/>
      <c r="IA747" s="133"/>
      <c r="IB747" s="133"/>
      <c r="IC747" s="133"/>
      <c r="ID747" s="133"/>
      <c r="IE747" s="133"/>
      <c r="IF747" s="133"/>
      <c r="IG747" s="133"/>
      <c r="IH747" s="133"/>
      <c r="II747" s="133"/>
      <c r="IJ747" s="133"/>
      <c r="IK747" s="133"/>
      <c r="IL747" s="133"/>
      <c r="IM747" s="133"/>
      <c r="IN747" s="133"/>
      <c r="IO747" s="133"/>
      <c r="IP747" s="133"/>
      <c r="IQ747" s="133"/>
      <c r="IR747" s="133"/>
      <c r="IS747" s="133"/>
      <c r="IT747" s="133"/>
      <c r="IU747" s="133"/>
      <c r="IV747" s="133"/>
    </row>
    <row r="748" spans="1:256" s="132" customFormat="1" ht="13.8">
      <c r="A748" s="133"/>
      <c r="B748" s="133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GE748" s="133"/>
      <c r="GF748" s="133"/>
      <c r="GG748" s="133"/>
      <c r="GH748" s="133"/>
      <c r="GI748" s="133"/>
      <c r="GJ748" s="133"/>
      <c r="GK748" s="133"/>
      <c r="GL748" s="133"/>
      <c r="GM748" s="133"/>
      <c r="GN748" s="133"/>
      <c r="GO748" s="133"/>
      <c r="GP748" s="133"/>
      <c r="GQ748" s="133"/>
      <c r="GR748" s="133"/>
      <c r="GS748" s="133"/>
      <c r="GT748" s="133"/>
      <c r="GU748" s="133"/>
      <c r="GV748" s="133"/>
      <c r="GW748" s="133"/>
      <c r="GX748" s="133"/>
      <c r="GY748" s="133"/>
      <c r="GZ748" s="133"/>
      <c r="HA748" s="133"/>
      <c r="HB748" s="133"/>
      <c r="HC748" s="133"/>
      <c r="HD748" s="133"/>
      <c r="HE748" s="133"/>
      <c r="HF748" s="133"/>
      <c r="HG748" s="133"/>
      <c r="HH748" s="133"/>
      <c r="HI748" s="133"/>
      <c r="HJ748" s="133"/>
      <c r="HK748" s="133"/>
      <c r="HL748" s="133"/>
      <c r="HM748" s="133"/>
      <c r="HN748" s="133"/>
      <c r="HO748" s="133"/>
      <c r="HP748" s="133"/>
      <c r="HQ748" s="133"/>
      <c r="HR748" s="133"/>
      <c r="HS748" s="133"/>
      <c r="HT748" s="133"/>
      <c r="HU748" s="133"/>
      <c r="HV748" s="133"/>
      <c r="HW748" s="133"/>
      <c r="HX748" s="133"/>
      <c r="HY748" s="133"/>
      <c r="HZ748" s="133"/>
      <c r="IA748" s="133"/>
      <c r="IB748" s="133"/>
      <c r="IC748" s="133"/>
      <c r="ID748" s="133"/>
      <c r="IE748" s="133"/>
      <c r="IF748" s="133"/>
      <c r="IG748" s="133"/>
      <c r="IH748" s="133"/>
      <c r="II748" s="133"/>
      <c r="IJ748" s="133"/>
      <c r="IK748" s="133"/>
      <c r="IL748" s="133"/>
      <c r="IM748" s="133"/>
      <c r="IN748" s="133"/>
      <c r="IO748" s="133"/>
      <c r="IP748" s="133"/>
      <c r="IQ748" s="133"/>
      <c r="IR748" s="133"/>
      <c r="IS748" s="133"/>
      <c r="IT748" s="133"/>
      <c r="IU748" s="133"/>
      <c r="IV748" s="133"/>
    </row>
    <row r="749" spans="1:256" s="132" customFormat="1" ht="13.8">
      <c r="A749" s="133"/>
      <c r="B749" s="133"/>
      <c r="C749" s="133"/>
      <c r="D749" s="133"/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GE749" s="133"/>
      <c r="GF749" s="133"/>
      <c r="GG749" s="133"/>
      <c r="GH749" s="133"/>
      <c r="GI749" s="133"/>
      <c r="GJ749" s="133"/>
      <c r="GK749" s="133"/>
      <c r="GL749" s="133"/>
      <c r="GM749" s="133"/>
      <c r="GN749" s="133"/>
      <c r="GO749" s="133"/>
      <c r="GP749" s="133"/>
      <c r="GQ749" s="133"/>
      <c r="GR749" s="133"/>
      <c r="GS749" s="133"/>
      <c r="GT749" s="133"/>
      <c r="GU749" s="133"/>
      <c r="GV749" s="133"/>
      <c r="GW749" s="133"/>
      <c r="GX749" s="133"/>
      <c r="GY749" s="133"/>
      <c r="GZ749" s="133"/>
      <c r="HA749" s="133"/>
      <c r="HB749" s="133"/>
      <c r="HC749" s="133"/>
      <c r="HD749" s="133"/>
      <c r="HE749" s="133"/>
      <c r="HF749" s="133"/>
      <c r="HG749" s="133"/>
      <c r="HH749" s="133"/>
      <c r="HI749" s="133"/>
      <c r="HJ749" s="133"/>
      <c r="HK749" s="133"/>
      <c r="HL749" s="133"/>
      <c r="HM749" s="133"/>
      <c r="HN749" s="133"/>
      <c r="HO749" s="133"/>
      <c r="HP749" s="133"/>
      <c r="HQ749" s="133"/>
      <c r="HR749" s="133"/>
      <c r="HS749" s="133"/>
      <c r="HT749" s="133"/>
      <c r="HU749" s="133"/>
      <c r="HV749" s="133"/>
      <c r="HW749" s="133"/>
      <c r="HX749" s="133"/>
      <c r="HY749" s="133"/>
      <c r="HZ749" s="133"/>
      <c r="IA749" s="133"/>
      <c r="IB749" s="133"/>
      <c r="IC749" s="133"/>
      <c r="ID749" s="133"/>
      <c r="IE749" s="133"/>
      <c r="IF749" s="133"/>
      <c r="IG749" s="133"/>
      <c r="IH749" s="133"/>
      <c r="II749" s="133"/>
      <c r="IJ749" s="133"/>
      <c r="IK749" s="133"/>
      <c r="IL749" s="133"/>
      <c r="IM749" s="133"/>
      <c r="IN749" s="133"/>
      <c r="IO749" s="133"/>
      <c r="IP749" s="133"/>
      <c r="IQ749" s="133"/>
      <c r="IR749" s="133"/>
      <c r="IS749" s="133"/>
      <c r="IT749" s="133"/>
      <c r="IU749" s="133"/>
      <c r="IV749" s="133"/>
    </row>
    <row r="750" spans="1:256" s="132" customFormat="1" ht="13.8">
      <c r="A750" s="133"/>
      <c r="B750" s="133"/>
      <c r="C750" s="133"/>
      <c r="D750" s="133"/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GE750" s="133"/>
      <c r="GF750" s="133"/>
      <c r="GG750" s="133"/>
      <c r="GH750" s="133"/>
      <c r="GI750" s="133"/>
      <c r="GJ750" s="133"/>
      <c r="GK750" s="133"/>
      <c r="GL750" s="133"/>
      <c r="GM750" s="133"/>
      <c r="GN750" s="133"/>
      <c r="GO750" s="133"/>
      <c r="GP750" s="133"/>
      <c r="GQ750" s="133"/>
      <c r="GR750" s="133"/>
      <c r="GS750" s="133"/>
      <c r="GT750" s="133"/>
      <c r="GU750" s="133"/>
      <c r="GV750" s="133"/>
      <c r="GW750" s="133"/>
      <c r="GX750" s="133"/>
      <c r="GY750" s="133"/>
      <c r="GZ750" s="133"/>
      <c r="HA750" s="133"/>
      <c r="HB750" s="133"/>
      <c r="HC750" s="133"/>
      <c r="HD750" s="133"/>
      <c r="HE750" s="133"/>
      <c r="HF750" s="133"/>
      <c r="HG750" s="133"/>
      <c r="HH750" s="133"/>
      <c r="HI750" s="133"/>
      <c r="HJ750" s="133"/>
      <c r="HK750" s="133"/>
      <c r="HL750" s="133"/>
      <c r="HM750" s="133"/>
      <c r="HN750" s="133"/>
      <c r="HO750" s="133"/>
      <c r="HP750" s="133"/>
      <c r="HQ750" s="133"/>
      <c r="HR750" s="133"/>
      <c r="HS750" s="133"/>
      <c r="HT750" s="133"/>
      <c r="HU750" s="133"/>
      <c r="HV750" s="133"/>
      <c r="HW750" s="133"/>
      <c r="HX750" s="133"/>
      <c r="HY750" s="133"/>
      <c r="HZ750" s="133"/>
      <c r="IA750" s="133"/>
      <c r="IB750" s="133"/>
      <c r="IC750" s="133"/>
      <c r="ID750" s="133"/>
      <c r="IE750" s="133"/>
      <c r="IF750" s="133"/>
      <c r="IG750" s="133"/>
      <c r="IH750" s="133"/>
      <c r="II750" s="133"/>
      <c r="IJ750" s="133"/>
      <c r="IK750" s="133"/>
      <c r="IL750" s="133"/>
      <c r="IM750" s="133"/>
      <c r="IN750" s="133"/>
      <c r="IO750" s="133"/>
      <c r="IP750" s="133"/>
      <c r="IQ750" s="133"/>
      <c r="IR750" s="133"/>
      <c r="IS750" s="133"/>
      <c r="IT750" s="133"/>
      <c r="IU750" s="133"/>
      <c r="IV750" s="133"/>
    </row>
    <row r="751" spans="1:256" s="132" customFormat="1" ht="13.8">
      <c r="A751" s="133"/>
      <c r="B751" s="133"/>
      <c r="C751" s="133"/>
      <c r="D751" s="133"/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GE751" s="133"/>
      <c r="GF751" s="133"/>
      <c r="GG751" s="133"/>
      <c r="GH751" s="133"/>
      <c r="GI751" s="133"/>
      <c r="GJ751" s="133"/>
      <c r="GK751" s="133"/>
      <c r="GL751" s="133"/>
      <c r="GM751" s="133"/>
      <c r="GN751" s="133"/>
      <c r="GO751" s="133"/>
      <c r="GP751" s="133"/>
      <c r="GQ751" s="133"/>
      <c r="GR751" s="133"/>
      <c r="GS751" s="133"/>
      <c r="GT751" s="133"/>
      <c r="GU751" s="133"/>
      <c r="GV751" s="133"/>
      <c r="GW751" s="133"/>
      <c r="GX751" s="133"/>
      <c r="GY751" s="133"/>
      <c r="GZ751" s="133"/>
      <c r="HA751" s="133"/>
      <c r="HB751" s="133"/>
      <c r="HC751" s="133"/>
      <c r="HD751" s="133"/>
      <c r="HE751" s="133"/>
      <c r="HF751" s="133"/>
      <c r="HG751" s="133"/>
      <c r="HH751" s="133"/>
      <c r="HI751" s="133"/>
      <c r="HJ751" s="133"/>
      <c r="HK751" s="133"/>
      <c r="HL751" s="133"/>
      <c r="HM751" s="133"/>
      <c r="HN751" s="133"/>
      <c r="HO751" s="133"/>
      <c r="HP751" s="133"/>
      <c r="HQ751" s="133"/>
      <c r="HR751" s="133"/>
      <c r="HS751" s="133"/>
      <c r="HT751" s="133"/>
      <c r="HU751" s="133"/>
      <c r="HV751" s="133"/>
      <c r="HW751" s="133"/>
      <c r="HX751" s="133"/>
      <c r="HY751" s="133"/>
      <c r="HZ751" s="133"/>
      <c r="IA751" s="133"/>
      <c r="IB751" s="133"/>
      <c r="IC751" s="133"/>
      <c r="ID751" s="133"/>
      <c r="IE751" s="133"/>
      <c r="IF751" s="133"/>
      <c r="IG751" s="133"/>
      <c r="IH751" s="133"/>
      <c r="II751" s="133"/>
      <c r="IJ751" s="133"/>
      <c r="IK751" s="133"/>
      <c r="IL751" s="133"/>
      <c r="IM751" s="133"/>
      <c r="IN751" s="133"/>
      <c r="IO751" s="133"/>
      <c r="IP751" s="133"/>
      <c r="IQ751" s="133"/>
      <c r="IR751" s="133"/>
      <c r="IS751" s="133"/>
      <c r="IT751" s="133"/>
      <c r="IU751" s="133"/>
      <c r="IV751" s="133"/>
    </row>
    <row r="752" spans="1:256" s="132" customFormat="1" ht="13.8">
      <c r="A752" s="133"/>
      <c r="B752" s="133"/>
      <c r="C752" s="133"/>
      <c r="D752" s="133"/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GE752" s="133"/>
      <c r="GF752" s="133"/>
      <c r="GG752" s="133"/>
      <c r="GH752" s="133"/>
      <c r="GI752" s="133"/>
      <c r="GJ752" s="133"/>
      <c r="GK752" s="133"/>
      <c r="GL752" s="133"/>
      <c r="GM752" s="133"/>
      <c r="GN752" s="133"/>
      <c r="GO752" s="133"/>
      <c r="GP752" s="133"/>
      <c r="GQ752" s="133"/>
      <c r="GR752" s="133"/>
      <c r="GS752" s="133"/>
      <c r="GT752" s="133"/>
      <c r="GU752" s="133"/>
      <c r="GV752" s="133"/>
      <c r="GW752" s="133"/>
      <c r="GX752" s="133"/>
      <c r="GY752" s="133"/>
      <c r="GZ752" s="133"/>
      <c r="HA752" s="133"/>
      <c r="HB752" s="133"/>
      <c r="HC752" s="133"/>
      <c r="HD752" s="133"/>
      <c r="HE752" s="133"/>
      <c r="HF752" s="133"/>
      <c r="HG752" s="133"/>
      <c r="HH752" s="133"/>
      <c r="HI752" s="133"/>
      <c r="HJ752" s="133"/>
      <c r="HK752" s="133"/>
      <c r="HL752" s="133"/>
      <c r="HM752" s="133"/>
      <c r="HN752" s="133"/>
      <c r="HO752" s="133"/>
      <c r="HP752" s="133"/>
      <c r="HQ752" s="133"/>
      <c r="HR752" s="133"/>
      <c r="HS752" s="133"/>
      <c r="HT752" s="133"/>
      <c r="HU752" s="133"/>
      <c r="HV752" s="133"/>
      <c r="HW752" s="133"/>
      <c r="HX752" s="133"/>
      <c r="HY752" s="133"/>
      <c r="HZ752" s="133"/>
      <c r="IA752" s="133"/>
      <c r="IB752" s="133"/>
      <c r="IC752" s="133"/>
      <c r="ID752" s="133"/>
      <c r="IE752" s="133"/>
      <c r="IF752" s="133"/>
      <c r="IG752" s="133"/>
      <c r="IH752" s="133"/>
      <c r="II752" s="133"/>
      <c r="IJ752" s="133"/>
      <c r="IK752" s="133"/>
      <c r="IL752" s="133"/>
      <c r="IM752" s="133"/>
      <c r="IN752" s="133"/>
      <c r="IO752" s="133"/>
      <c r="IP752" s="133"/>
      <c r="IQ752" s="133"/>
      <c r="IR752" s="133"/>
      <c r="IS752" s="133"/>
      <c r="IT752" s="133"/>
      <c r="IU752" s="133"/>
      <c r="IV752" s="133"/>
    </row>
    <row r="753" spans="1:256" s="132" customFormat="1" ht="13.8">
      <c r="A753" s="133"/>
      <c r="B753" s="133"/>
      <c r="C753" s="133"/>
      <c r="D753" s="133"/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GE753" s="133"/>
      <c r="GF753" s="133"/>
      <c r="GG753" s="133"/>
      <c r="GH753" s="133"/>
      <c r="GI753" s="133"/>
      <c r="GJ753" s="133"/>
      <c r="GK753" s="133"/>
      <c r="GL753" s="133"/>
      <c r="GM753" s="133"/>
      <c r="GN753" s="133"/>
      <c r="GO753" s="133"/>
      <c r="GP753" s="133"/>
      <c r="GQ753" s="133"/>
      <c r="GR753" s="133"/>
      <c r="GS753" s="133"/>
      <c r="GT753" s="133"/>
      <c r="GU753" s="133"/>
      <c r="GV753" s="133"/>
      <c r="GW753" s="133"/>
      <c r="GX753" s="133"/>
      <c r="GY753" s="133"/>
      <c r="GZ753" s="133"/>
      <c r="HA753" s="133"/>
      <c r="HB753" s="133"/>
      <c r="HC753" s="133"/>
      <c r="HD753" s="133"/>
      <c r="HE753" s="133"/>
      <c r="HF753" s="133"/>
      <c r="HG753" s="133"/>
      <c r="HH753" s="133"/>
      <c r="HI753" s="133"/>
      <c r="HJ753" s="133"/>
      <c r="HK753" s="133"/>
      <c r="HL753" s="133"/>
      <c r="HM753" s="133"/>
      <c r="HN753" s="133"/>
      <c r="HO753" s="133"/>
      <c r="HP753" s="133"/>
      <c r="HQ753" s="133"/>
      <c r="HR753" s="133"/>
      <c r="HS753" s="133"/>
      <c r="HT753" s="133"/>
      <c r="HU753" s="133"/>
      <c r="HV753" s="133"/>
      <c r="HW753" s="133"/>
      <c r="HX753" s="133"/>
      <c r="HY753" s="133"/>
      <c r="HZ753" s="133"/>
      <c r="IA753" s="133"/>
      <c r="IB753" s="133"/>
      <c r="IC753" s="133"/>
      <c r="ID753" s="133"/>
      <c r="IE753" s="133"/>
      <c r="IF753" s="133"/>
      <c r="IG753" s="133"/>
      <c r="IH753" s="133"/>
      <c r="II753" s="133"/>
      <c r="IJ753" s="133"/>
      <c r="IK753" s="133"/>
      <c r="IL753" s="133"/>
      <c r="IM753" s="133"/>
      <c r="IN753" s="133"/>
      <c r="IO753" s="133"/>
      <c r="IP753" s="133"/>
      <c r="IQ753" s="133"/>
      <c r="IR753" s="133"/>
      <c r="IS753" s="133"/>
      <c r="IT753" s="133"/>
      <c r="IU753" s="133"/>
      <c r="IV753" s="133"/>
    </row>
    <row r="754" spans="1:256" s="132" customFormat="1" ht="13.8">
      <c r="A754" s="133"/>
      <c r="B754" s="133"/>
      <c r="C754" s="133"/>
      <c r="D754" s="133"/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GE754" s="133"/>
      <c r="GF754" s="133"/>
      <c r="GG754" s="133"/>
      <c r="GH754" s="133"/>
      <c r="GI754" s="133"/>
      <c r="GJ754" s="133"/>
      <c r="GK754" s="133"/>
      <c r="GL754" s="133"/>
      <c r="GM754" s="133"/>
      <c r="GN754" s="133"/>
      <c r="GO754" s="133"/>
      <c r="GP754" s="133"/>
      <c r="GQ754" s="133"/>
      <c r="GR754" s="133"/>
      <c r="GS754" s="133"/>
      <c r="GT754" s="133"/>
      <c r="GU754" s="133"/>
      <c r="GV754" s="133"/>
      <c r="GW754" s="133"/>
      <c r="GX754" s="133"/>
      <c r="GY754" s="133"/>
      <c r="GZ754" s="133"/>
      <c r="HA754" s="133"/>
      <c r="HB754" s="133"/>
      <c r="HC754" s="133"/>
      <c r="HD754" s="133"/>
      <c r="HE754" s="133"/>
      <c r="HF754" s="133"/>
      <c r="HG754" s="133"/>
      <c r="HH754" s="133"/>
      <c r="HI754" s="133"/>
      <c r="HJ754" s="133"/>
      <c r="HK754" s="133"/>
      <c r="HL754" s="133"/>
      <c r="HM754" s="133"/>
      <c r="HN754" s="133"/>
      <c r="HO754" s="133"/>
      <c r="HP754" s="133"/>
      <c r="HQ754" s="133"/>
      <c r="HR754" s="133"/>
      <c r="HS754" s="133"/>
      <c r="HT754" s="133"/>
      <c r="HU754" s="133"/>
      <c r="HV754" s="133"/>
      <c r="HW754" s="133"/>
      <c r="HX754" s="133"/>
      <c r="HY754" s="133"/>
      <c r="HZ754" s="133"/>
      <c r="IA754" s="133"/>
      <c r="IB754" s="133"/>
      <c r="IC754" s="133"/>
      <c r="ID754" s="133"/>
      <c r="IE754" s="133"/>
      <c r="IF754" s="133"/>
      <c r="IG754" s="133"/>
      <c r="IH754" s="133"/>
      <c r="II754" s="133"/>
      <c r="IJ754" s="133"/>
      <c r="IK754" s="133"/>
      <c r="IL754" s="133"/>
      <c r="IM754" s="133"/>
      <c r="IN754" s="133"/>
      <c r="IO754" s="133"/>
      <c r="IP754" s="133"/>
      <c r="IQ754" s="133"/>
      <c r="IR754" s="133"/>
      <c r="IS754" s="133"/>
      <c r="IT754" s="133"/>
      <c r="IU754" s="133"/>
      <c r="IV754" s="133"/>
    </row>
    <row r="755" spans="1:256" s="132" customFormat="1" ht="13.8">
      <c r="A755" s="133"/>
      <c r="B755" s="133"/>
      <c r="C755" s="133"/>
      <c r="D755" s="133"/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GE755" s="133"/>
      <c r="GF755" s="133"/>
      <c r="GG755" s="133"/>
      <c r="GH755" s="133"/>
      <c r="GI755" s="133"/>
      <c r="GJ755" s="133"/>
      <c r="GK755" s="133"/>
      <c r="GL755" s="133"/>
      <c r="GM755" s="133"/>
      <c r="GN755" s="133"/>
      <c r="GO755" s="133"/>
      <c r="GP755" s="133"/>
      <c r="GQ755" s="133"/>
      <c r="GR755" s="133"/>
      <c r="GS755" s="133"/>
      <c r="GT755" s="133"/>
      <c r="GU755" s="133"/>
      <c r="GV755" s="133"/>
      <c r="GW755" s="133"/>
      <c r="GX755" s="133"/>
      <c r="GY755" s="133"/>
      <c r="GZ755" s="133"/>
      <c r="HA755" s="133"/>
      <c r="HB755" s="133"/>
      <c r="HC755" s="133"/>
      <c r="HD755" s="133"/>
      <c r="HE755" s="133"/>
      <c r="HF755" s="133"/>
      <c r="HG755" s="133"/>
      <c r="HH755" s="133"/>
      <c r="HI755" s="133"/>
      <c r="HJ755" s="133"/>
      <c r="HK755" s="133"/>
      <c r="HL755" s="133"/>
      <c r="HM755" s="133"/>
      <c r="HN755" s="133"/>
      <c r="HO755" s="133"/>
      <c r="HP755" s="133"/>
      <c r="HQ755" s="133"/>
      <c r="HR755" s="133"/>
      <c r="HS755" s="133"/>
      <c r="HT755" s="133"/>
      <c r="HU755" s="133"/>
      <c r="HV755" s="133"/>
      <c r="HW755" s="133"/>
      <c r="HX755" s="133"/>
      <c r="HY755" s="133"/>
      <c r="HZ755" s="133"/>
      <c r="IA755" s="133"/>
      <c r="IB755" s="133"/>
      <c r="IC755" s="133"/>
      <c r="ID755" s="133"/>
      <c r="IE755" s="133"/>
      <c r="IF755" s="133"/>
      <c r="IG755" s="133"/>
      <c r="IH755" s="133"/>
      <c r="II755" s="133"/>
      <c r="IJ755" s="133"/>
      <c r="IK755" s="133"/>
      <c r="IL755" s="133"/>
      <c r="IM755" s="133"/>
      <c r="IN755" s="133"/>
      <c r="IO755" s="133"/>
      <c r="IP755" s="133"/>
      <c r="IQ755" s="133"/>
      <c r="IR755" s="133"/>
      <c r="IS755" s="133"/>
      <c r="IT755" s="133"/>
      <c r="IU755" s="133"/>
      <c r="IV755" s="133"/>
    </row>
    <row r="756" spans="1:256" s="132" customFormat="1" ht="13.8">
      <c r="A756" s="133"/>
      <c r="B756" s="133"/>
      <c r="C756" s="133"/>
      <c r="D756" s="133"/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GE756" s="133"/>
      <c r="GF756" s="133"/>
      <c r="GG756" s="133"/>
      <c r="GH756" s="133"/>
      <c r="GI756" s="133"/>
      <c r="GJ756" s="133"/>
      <c r="GK756" s="133"/>
      <c r="GL756" s="133"/>
      <c r="GM756" s="133"/>
      <c r="GN756" s="133"/>
      <c r="GO756" s="133"/>
      <c r="GP756" s="133"/>
      <c r="GQ756" s="133"/>
      <c r="GR756" s="133"/>
      <c r="GS756" s="133"/>
      <c r="GT756" s="133"/>
      <c r="GU756" s="133"/>
      <c r="GV756" s="133"/>
      <c r="GW756" s="133"/>
      <c r="GX756" s="133"/>
      <c r="GY756" s="133"/>
      <c r="GZ756" s="133"/>
      <c r="HA756" s="133"/>
      <c r="HB756" s="133"/>
      <c r="HC756" s="133"/>
      <c r="HD756" s="133"/>
      <c r="HE756" s="133"/>
      <c r="HF756" s="133"/>
      <c r="HG756" s="133"/>
      <c r="HH756" s="133"/>
      <c r="HI756" s="133"/>
      <c r="HJ756" s="133"/>
      <c r="HK756" s="133"/>
      <c r="HL756" s="133"/>
      <c r="HM756" s="133"/>
      <c r="HN756" s="133"/>
      <c r="HO756" s="133"/>
      <c r="HP756" s="133"/>
      <c r="HQ756" s="133"/>
      <c r="HR756" s="133"/>
      <c r="HS756" s="133"/>
      <c r="HT756" s="133"/>
      <c r="HU756" s="133"/>
      <c r="HV756" s="133"/>
      <c r="HW756" s="133"/>
      <c r="HX756" s="133"/>
      <c r="HY756" s="133"/>
      <c r="HZ756" s="133"/>
      <c r="IA756" s="133"/>
      <c r="IB756" s="133"/>
      <c r="IC756" s="133"/>
      <c r="ID756" s="133"/>
      <c r="IE756" s="133"/>
      <c r="IF756" s="133"/>
      <c r="IG756" s="133"/>
      <c r="IH756" s="133"/>
      <c r="II756" s="133"/>
      <c r="IJ756" s="133"/>
      <c r="IK756" s="133"/>
      <c r="IL756" s="133"/>
      <c r="IM756" s="133"/>
      <c r="IN756" s="133"/>
      <c r="IO756" s="133"/>
      <c r="IP756" s="133"/>
      <c r="IQ756" s="133"/>
      <c r="IR756" s="133"/>
      <c r="IS756" s="133"/>
      <c r="IT756" s="133"/>
      <c r="IU756" s="133"/>
      <c r="IV756" s="133"/>
    </row>
    <row r="757" spans="1:256" s="132" customFormat="1" ht="13.8">
      <c r="A757" s="133"/>
      <c r="B757" s="133"/>
      <c r="C757" s="133"/>
      <c r="D757" s="133"/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GE757" s="133"/>
      <c r="GF757" s="133"/>
      <c r="GG757" s="133"/>
      <c r="GH757" s="133"/>
      <c r="GI757" s="133"/>
      <c r="GJ757" s="133"/>
      <c r="GK757" s="133"/>
      <c r="GL757" s="133"/>
      <c r="GM757" s="133"/>
      <c r="GN757" s="133"/>
      <c r="GO757" s="133"/>
      <c r="GP757" s="133"/>
      <c r="GQ757" s="133"/>
      <c r="GR757" s="133"/>
      <c r="GS757" s="133"/>
      <c r="GT757" s="133"/>
      <c r="GU757" s="133"/>
      <c r="GV757" s="133"/>
      <c r="GW757" s="133"/>
      <c r="GX757" s="133"/>
      <c r="GY757" s="133"/>
      <c r="GZ757" s="133"/>
      <c r="HA757" s="133"/>
      <c r="HB757" s="133"/>
      <c r="HC757" s="133"/>
      <c r="HD757" s="133"/>
      <c r="HE757" s="133"/>
      <c r="HF757" s="133"/>
      <c r="HG757" s="133"/>
      <c r="HH757" s="133"/>
      <c r="HI757" s="133"/>
      <c r="HJ757" s="133"/>
      <c r="HK757" s="133"/>
      <c r="HL757" s="133"/>
      <c r="HM757" s="133"/>
      <c r="HN757" s="133"/>
      <c r="HO757" s="133"/>
      <c r="HP757" s="133"/>
      <c r="HQ757" s="133"/>
      <c r="HR757" s="133"/>
      <c r="HS757" s="133"/>
      <c r="HT757" s="133"/>
      <c r="HU757" s="133"/>
      <c r="HV757" s="133"/>
      <c r="HW757" s="133"/>
      <c r="HX757" s="133"/>
      <c r="HY757" s="133"/>
      <c r="HZ757" s="133"/>
      <c r="IA757" s="133"/>
      <c r="IB757" s="133"/>
      <c r="IC757" s="133"/>
      <c r="ID757" s="133"/>
      <c r="IE757" s="133"/>
      <c r="IF757" s="133"/>
      <c r="IG757" s="133"/>
      <c r="IH757" s="133"/>
      <c r="II757" s="133"/>
      <c r="IJ757" s="133"/>
      <c r="IK757" s="133"/>
      <c r="IL757" s="133"/>
      <c r="IM757" s="133"/>
      <c r="IN757" s="133"/>
      <c r="IO757" s="133"/>
      <c r="IP757" s="133"/>
      <c r="IQ757" s="133"/>
      <c r="IR757" s="133"/>
      <c r="IS757" s="133"/>
      <c r="IT757" s="133"/>
      <c r="IU757" s="133"/>
      <c r="IV757" s="133"/>
    </row>
    <row r="758" spans="1:256" s="132" customFormat="1" ht="13.8">
      <c r="A758" s="133"/>
      <c r="B758" s="133"/>
      <c r="C758" s="133"/>
      <c r="D758" s="133"/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GE758" s="133"/>
      <c r="GF758" s="133"/>
      <c r="GG758" s="133"/>
      <c r="GH758" s="133"/>
      <c r="GI758" s="133"/>
      <c r="GJ758" s="133"/>
      <c r="GK758" s="133"/>
      <c r="GL758" s="133"/>
      <c r="GM758" s="133"/>
      <c r="GN758" s="133"/>
      <c r="GO758" s="133"/>
      <c r="GP758" s="133"/>
      <c r="GQ758" s="133"/>
      <c r="GR758" s="133"/>
      <c r="GS758" s="133"/>
      <c r="GT758" s="133"/>
      <c r="GU758" s="133"/>
      <c r="GV758" s="133"/>
      <c r="GW758" s="133"/>
      <c r="GX758" s="133"/>
      <c r="GY758" s="133"/>
      <c r="GZ758" s="133"/>
      <c r="HA758" s="133"/>
      <c r="HB758" s="133"/>
      <c r="HC758" s="133"/>
      <c r="HD758" s="133"/>
      <c r="HE758" s="133"/>
      <c r="HF758" s="133"/>
      <c r="HG758" s="133"/>
      <c r="HH758" s="133"/>
      <c r="HI758" s="133"/>
      <c r="HJ758" s="133"/>
      <c r="HK758" s="133"/>
      <c r="HL758" s="133"/>
      <c r="HM758" s="133"/>
      <c r="HN758" s="133"/>
      <c r="HO758" s="133"/>
      <c r="HP758" s="133"/>
      <c r="HQ758" s="133"/>
      <c r="HR758" s="133"/>
      <c r="HS758" s="133"/>
      <c r="HT758" s="133"/>
      <c r="HU758" s="133"/>
      <c r="HV758" s="133"/>
      <c r="HW758" s="133"/>
      <c r="HX758" s="133"/>
      <c r="HY758" s="133"/>
      <c r="HZ758" s="133"/>
      <c r="IA758" s="133"/>
      <c r="IB758" s="133"/>
      <c r="IC758" s="133"/>
      <c r="ID758" s="133"/>
      <c r="IE758" s="133"/>
      <c r="IF758" s="133"/>
      <c r="IG758" s="133"/>
      <c r="IH758" s="133"/>
      <c r="II758" s="133"/>
      <c r="IJ758" s="133"/>
      <c r="IK758" s="133"/>
      <c r="IL758" s="133"/>
      <c r="IM758" s="133"/>
      <c r="IN758" s="133"/>
      <c r="IO758" s="133"/>
      <c r="IP758" s="133"/>
      <c r="IQ758" s="133"/>
      <c r="IR758" s="133"/>
      <c r="IS758" s="133"/>
      <c r="IT758" s="133"/>
      <c r="IU758" s="133"/>
      <c r="IV758" s="133"/>
    </row>
    <row r="759" spans="1:256" s="132" customFormat="1" ht="13.8">
      <c r="A759" s="133"/>
      <c r="B759" s="133"/>
      <c r="C759" s="133"/>
      <c r="D759" s="133"/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GE759" s="133"/>
      <c r="GF759" s="133"/>
      <c r="GG759" s="133"/>
      <c r="GH759" s="133"/>
      <c r="GI759" s="133"/>
      <c r="GJ759" s="133"/>
      <c r="GK759" s="133"/>
      <c r="GL759" s="133"/>
      <c r="GM759" s="133"/>
      <c r="GN759" s="133"/>
      <c r="GO759" s="133"/>
      <c r="GP759" s="133"/>
      <c r="GQ759" s="133"/>
      <c r="GR759" s="133"/>
      <c r="GS759" s="133"/>
      <c r="GT759" s="133"/>
      <c r="GU759" s="133"/>
      <c r="GV759" s="133"/>
      <c r="GW759" s="133"/>
      <c r="GX759" s="133"/>
      <c r="GY759" s="133"/>
      <c r="GZ759" s="133"/>
      <c r="HA759" s="133"/>
      <c r="HB759" s="133"/>
      <c r="HC759" s="133"/>
      <c r="HD759" s="133"/>
      <c r="HE759" s="133"/>
      <c r="HF759" s="133"/>
      <c r="HG759" s="133"/>
      <c r="HH759" s="133"/>
      <c r="HI759" s="133"/>
      <c r="HJ759" s="133"/>
      <c r="HK759" s="133"/>
      <c r="HL759" s="133"/>
      <c r="HM759" s="133"/>
      <c r="HN759" s="133"/>
      <c r="HO759" s="133"/>
      <c r="HP759" s="133"/>
      <c r="HQ759" s="133"/>
      <c r="HR759" s="133"/>
      <c r="HS759" s="133"/>
      <c r="HT759" s="133"/>
      <c r="HU759" s="133"/>
      <c r="HV759" s="133"/>
      <c r="HW759" s="133"/>
      <c r="HX759" s="133"/>
      <c r="HY759" s="133"/>
      <c r="HZ759" s="133"/>
      <c r="IA759" s="133"/>
      <c r="IB759" s="133"/>
      <c r="IC759" s="133"/>
      <c r="ID759" s="133"/>
      <c r="IE759" s="133"/>
      <c r="IF759" s="133"/>
      <c r="IG759" s="133"/>
      <c r="IH759" s="133"/>
      <c r="II759" s="133"/>
      <c r="IJ759" s="133"/>
      <c r="IK759" s="133"/>
      <c r="IL759" s="133"/>
      <c r="IM759" s="133"/>
      <c r="IN759" s="133"/>
      <c r="IO759" s="133"/>
      <c r="IP759" s="133"/>
      <c r="IQ759" s="133"/>
      <c r="IR759" s="133"/>
      <c r="IS759" s="133"/>
      <c r="IT759" s="133"/>
      <c r="IU759" s="133"/>
      <c r="IV759" s="133"/>
    </row>
    <row r="760" spans="1:256" s="132" customFormat="1" ht="13.8">
      <c r="A760" s="133"/>
      <c r="B760" s="133"/>
      <c r="C760" s="133"/>
      <c r="D760" s="133"/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GE760" s="133"/>
      <c r="GF760" s="133"/>
      <c r="GG760" s="133"/>
      <c r="GH760" s="133"/>
      <c r="GI760" s="133"/>
      <c r="GJ760" s="133"/>
      <c r="GK760" s="133"/>
      <c r="GL760" s="133"/>
      <c r="GM760" s="133"/>
      <c r="GN760" s="133"/>
      <c r="GO760" s="133"/>
      <c r="GP760" s="133"/>
      <c r="GQ760" s="133"/>
      <c r="GR760" s="133"/>
      <c r="GS760" s="133"/>
      <c r="GT760" s="133"/>
      <c r="GU760" s="133"/>
      <c r="GV760" s="133"/>
      <c r="GW760" s="133"/>
      <c r="GX760" s="133"/>
      <c r="GY760" s="133"/>
      <c r="GZ760" s="133"/>
      <c r="HA760" s="133"/>
      <c r="HB760" s="133"/>
      <c r="HC760" s="133"/>
      <c r="HD760" s="133"/>
      <c r="HE760" s="133"/>
      <c r="HF760" s="133"/>
      <c r="HG760" s="133"/>
      <c r="HH760" s="133"/>
      <c r="HI760" s="133"/>
      <c r="HJ760" s="133"/>
      <c r="HK760" s="133"/>
      <c r="HL760" s="133"/>
      <c r="HM760" s="133"/>
      <c r="HN760" s="133"/>
      <c r="HO760" s="133"/>
      <c r="HP760" s="133"/>
      <c r="HQ760" s="133"/>
      <c r="HR760" s="133"/>
      <c r="HS760" s="133"/>
      <c r="HT760" s="133"/>
      <c r="HU760" s="133"/>
      <c r="HV760" s="133"/>
      <c r="HW760" s="133"/>
      <c r="HX760" s="133"/>
      <c r="HY760" s="133"/>
      <c r="HZ760" s="133"/>
      <c r="IA760" s="133"/>
      <c r="IB760" s="133"/>
      <c r="IC760" s="133"/>
      <c r="ID760" s="133"/>
      <c r="IE760" s="133"/>
      <c r="IF760" s="133"/>
      <c r="IG760" s="133"/>
      <c r="IH760" s="133"/>
      <c r="II760" s="133"/>
      <c r="IJ760" s="133"/>
      <c r="IK760" s="133"/>
      <c r="IL760" s="133"/>
      <c r="IM760" s="133"/>
      <c r="IN760" s="133"/>
      <c r="IO760" s="133"/>
      <c r="IP760" s="133"/>
      <c r="IQ760" s="133"/>
      <c r="IR760" s="133"/>
      <c r="IS760" s="133"/>
      <c r="IT760" s="133"/>
      <c r="IU760" s="133"/>
      <c r="IV760" s="133"/>
    </row>
    <row r="761" spans="1:256" s="132" customFormat="1" ht="13.8">
      <c r="A761" s="133"/>
      <c r="B761" s="133"/>
      <c r="C761" s="133"/>
      <c r="D761" s="133"/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GE761" s="133"/>
      <c r="GF761" s="133"/>
      <c r="GG761" s="133"/>
      <c r="GH761" s="133"/>
      <c r="GI761" s="133"/>
      <c r="GJ761" s="133"/>
      <c r="GK761" s="133"/>
      <c r="GL761" s="133"/>
      <c r="GM761" s="133"/>
      <c r="GN761" s="133"/>
      <c r="GO761" s="133"/>
      <c r="GP761" s="133"/>
      <c r="GQ761" s="133"/>
      <c r="GR761" s="133"/>
      <c r="GS761" s="133"/>
      <c r="GT761" s="133"/>
      <c r="GU761" s="133"/>
      <c r="GV761" s="133"/>
      <c r="GW761" s="133"/>
      <c r="GX761" s="133"/>
      <c r="GY761" s="133"/>
      <c r="GZ761" s="133"/>
      <c r="HA761" s="133"/>
      <c r="HB761" s="133"/>
      <c r="HC761" s="133"/>
      <c r="HD761" s="133"/>
      <c r="HE761" s="133"/>
      <c r="HF761" s="133"/>
      <c r="HG761" s="133"/>
      <c r="HH761" s="133"/>
      <c r="HI761" s="133"/>
      <c r="HJ761" s="133"/>
      <c r="HK761" s="133"/>
      <c r="HL761" s="133"/>
      <c r="HM761" s="133"/>
      <c r="HN761" s="133"/>
      <c r="HO761" s="133"/>
      <c r="HP761" s="133"/>
      <c r="HQ761" s="133"/>
      <c r="HR761" s="133"/>
      <c r="HS761" s="133"/>
      <c r="HT761" s="133"/>
      <c r="HU761" s="133"/>
      <c r="HV761" s="133"/>
      <c r="HW761" s="133"/>
      <c r="HX761" s="133"/>
      <c r="HY761" s="133"/>
      <c r="HZ761" s="133"/>
      <c r="IA761" s="133"/>
      <c r="IB761" s="133"/>
      <c r="IC761" s="133"/>
      <c r="ID761" s="133"/>
      <c r="IE761" s="133"/>
      <c r="IF761" s="133"/>
      <c r="IG761" s="133"/>
      <c r="IH761" s="133"/>
      <c r="II761" s="133"/>
      <c r="IJ761" s="133"/>
      <c r="IK761" s="133"/>
      <c r="IL761" s="133"/>
      <c r="IM761" s="133"/>
      <c r="IN761" s="133"/>
      <c r="IO761" s="133"/>
      <c r="IP761" s="133"/>
      <c r="IQ761" s="133"/>
      <c r="IR761" s="133"/>
      <c r="IS761" s="133"/>
      <c r="IT761" s="133"/>
      <c r="IU761" s="133"/>
      <c r="IV761" s="133"/>
    </row>
    <row r="762" spans="1:256" s="132" customFormat="1" ht="13.8">
      <c r="A762" s="133"/>
      <c r="B762" s="133"/>
      <c r="C762" s="133"/>
      <c r="D762" s="133"/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GE762" s="133"/>
      <c r="GF762" s="133"/>
      <c r="GG762" s="133"/>
      <c r="GH762" s="133"/>
      <c r="GI762" s="133"/>
      <c r="GJ762" s="133"/>
      <c r="GK762" s="133"/>
      <c r="GL762" s="133"/>
      <c r="GM762" s="133"/>
      <c r="GN762" s="133"/>
      <c r="GO762" s="133"/>
      <c r="GP762" s="133"/>
      <c r="GQ762" s="133"/>
      <c r="GR762" s="133"/>
      <c r="GS762" s="133"/>
      <c r="GT762" s="133"/>
      <c r="GU762" s="133"/>
      <c r="GV762" s="133"/>
      <c r="GW762" s="133"/>
      <c r="GX762" s="133"/>
      <c r="GY762" s="133"/>
      <c r="GZ762" s="133"/>
      <c r="HA762" s="133"/>
      <c r="HB762" s="133"/>
      <c r="HC762" s="133"/>
      <c r="HD762" s="133"/>
      <c r="HE762" s="133"/>
      <c r="HF762" s="133"/>
      <c r="HG762" s="133"/>
      <c r="HH762" s="133"/>
      <c r="HI762" s="133"/>
      <c r="HJ762" s="133"/>
      <c r="HK762" s="133"/>
      <c r="HL762" s="133"/>
      <c r="HM762" s="133"/>
      <c r="HN762" s="133"/>
      <c r="HO762" s="133"/>
      <c r="HP762" s="133"/>
      <c r="HQ762" s="133"/>
      <c r="HR762" s="133"/>
      <c r="HS762" s="133"/>
      <c r="HT762" s="133"/>
      <c r="HU762" s="133"/>
      <c r="HV762" s="133"/>
      <c r="HW762" s="133"/>
      <c r="HX762" s="133"/>
      <c r="HY762" s="133"/>
      <c r="HZ762" s="133"/>
      <c r="IA762" s="133"/>
      <c r="IB762" s="133"/>
      <c r="IC762" s="133"/>
      <c r="ID762" s="133"/>
      <c r="IE762" s="133"/>
      <c r="IF762" s="133"/>
      <c r="IG762" s="133"/>
      <c r="IH762" s="133"/>
      <c r="II762" s="133"/>
      <c r="IJ762" s="133"/>
      <c r="IK762" s="133"/>
      <c r="IL762" s="133"/>
      <c r="IM762" s="133"/>
      <c r="IN762" s="133"/>
      <c r="IO762" s="133"/>
      <c r="IP762" s="133"/>
      <c r="IQ762" s="133"/>
      <c r="IR762" s="133"/>
      <c r="IS762" s="133"/>
      <c r="IT762" s="133"/>
      <c r="IU762" s="133"/>
      <c r="IV762" s="133"/>
    </row>
    <row r="763" spans="1:256" s="132" customFormat="1" ht="13.8">
      <c r="A763" s="133"/>
      <c r="B763" s="133"/>
      <c r="C763" s="133"/>
      <c r="D763" s="133"/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GE763" s="133"/>
      <c r="GF763" s="133"/>
      <c r="GG763" s="133"/>
      <c r="GH763" s="133"/>
      <c r="GI763" s="133"/>
      <c r="GJ763" s="133"/>
      <c r="GK763" s="133"/>
      <c r="GL763" s="133"/>
      <c r="GM763" s="133"/>
      <c r="GN763" s="133"/>
      <c r="GO763" s="133"/>
      <c r="GP763" s="133"/>
      <c r="GQ763" s="133"/>
      <c r="GR763" s="133"/>
      <c r="GS763" s="133"/>
      <c r="GT763" s="133"/>
      <c r="GU763" s="133"/>
      <c r="GV763" s="133"/>
      <c r="GW763" s="133"/>
      <c r="GX763" s="133"/>
      <c r="GY763" s="133"/>
      <c r="GZ763" s="133"/>
      <c r="HA763" s="133"/>
      <c r="HB763" s="133"/>
      <c r="HC763" s="133"/>
      <c r="HD763" s="133"/>
      <c r="HE763" s="133"/>
      <c r="HF763" s="133"/>
      <c r="HG763" s="133"/>
      <c r="HH763" s="133"/>
      <c r="HI763" s="133"/>
      <c r="HJ763" s="133"/>
      <c r="HK763" s="133"/>
      <c r="HL763" s="133"/>
      <c r="HM763" s="133"/>
      <c r="HN763" s="133"/>
      <c r="HO763" s="133"/>
      <c r="HP763" s="133"/>
      <c r="HQ763" s="133"/>
      <c r="HR763" s="133"/>
      <c r="HS763" s="133"/>
      <c r="HT763" s="133"/>
      <c r="HU763" s="133"/>
      <c r="HV763" s="133"/>
      <c r="HW763" s="133"/>
      <c r="HX763" s="133"/>
      <c r="HY763" s="133"/>
      <c r="HZ763" s="133"/>
      <c r="IA763" s="133"/>
      <c r="IB763" s="133"/>
      <c r="IC763" s="133"/>
      <c r="ID763" s="133"/>
      <c r="IE763" s="133"/>
      <c r="IF763" s="133"/>
      <c r="IG763" s="133"/>
      <c r="IH763" s="133"/>
      <c r="II763" s="133"/>
      <c r="IJ763" s="133"/>
      <c r="IK763" s="133"/>
      <c r="IL763" s="133"/>
      <c r="IM763" s="133"/>
      <c r="IN763" s="133"/>
      <c r="IO763" s="133"/>
      <c r="IP763" s="133"/>
      <c r="IQ763" s="133"/>
      <c r="IR763" s="133"/>
      <c r="IS763" s="133"/>
      <c r="IT763" s="133"/>
      <c r="IU763" s="133"/>
      <c r="IV763" s="133"/>
    </row>
    <row r="764" spans="1:256" s="132" customFormat="1" ht="13.8">
      <c r="A764" s="133"/>
      <c r="B764" s="133"/>
      <c r="C764" s="133"/>
      <c r="D764" s="133"/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GE764" s="133"/>
      <c r="GF764" s="133"/>
      <c r="GG764" s="133"/>
      <c r="GH764" s="133"/>
      <c r="GI764" s="133"/>
      <c r="GJ764" s="133"/>
      <c r="GK764" s="133"/>
      <c r="GL764" s="133"/>
      <c r="GM764" s="133"/>
      <c r="GN764" s="133"/>
      <c r="GO764" s="133"/>
      <c r="GP764" s="133"/>
      <c r="GQ764" s="133"/>
      <c r="GR764" s="133"/>
      <c r="GS764" s="133"/>
      <c r="GT764" s="133"/>
      <c r="GU764" s="133"/>
      <c r="GV764" s="133"/>
      <c r="GW764" s="133"/>
      <c r="GX764" s="133"/>
      <c r="GY764" s="133"/>
      <c r="GZ764" s="133"/>
      <c r="HA764" s="133"/>
      <c r="HB764" s="133"/>
      <c r="HC764" s="133"/>
      <c r="HD764" s="133"/>
      <c r="HE764" s="133"/>
      <c r="HF764" s="133"/>
      <c r="HG764" s="133"/>
      <c r="HH764" s="133"/>
      <c r="HI764" s="133"/>
      <c r="HJ764" s="133"/>
      <c r="HK764" s="133"/>
      <c r="HL764" s="133"/>
      <c r="HM764" s="133"/>
      <c r="HN764" s="133"/>
      <c r="HO764" s="133"/>
      <c r="HP764" s="133"/>
      <c r="HQ764" s="133"/>
      <c r="HR764" s="133"/>
      <c r="HS764" s="133"/>
      <c r="HT764" s="133"/>
      <c r="HU764" s="133"/>
      <c r="HV764" s="133"/>
      <c r="HW764" s="133"/>
      <c r="HX764" s="133"/>
      <c r="HY764" s="133"/>
      <c r="HZ764" s="133"/>
      <c r="IA764" s="133"/>
      <c r="IB764" s="133"/>
      <c r="IC764" s="133"/>
      <c r="ID764" s="133"/>
      <c r="IE764" s="133"/>
      <c r="IF764" s="133"/>
      <c r="IG764" s="133"/>
      <c r="IH764" s="133"/>
      <c r="II764" s="133"/>
      <c r="IJ764" s="133"/>
      <c r="IK764" s="133"/>
      <c r="IL764" s="133"/>
      <c r="IM764" s="133"/>
      <c r="IN764" s="133"/>
      <c r="IO764" s="133"/>
      <c r="IP764" s="133"/>
      <c r="IQ764" s="133"/>
      <c r="IR764" s="133"/>
      <c r="IS764" s="133"/>
      <c r="IT764" s="133"/>
      <c r="IU764" s="133"/>
      <c r="IV764" s="133"/>
    </row>
    <row r="765" spans="1:256" s="132" customFormat="1" ht="13.8">
      <c r="A765" s="133"/>
      <c r="B765" s="133"/>
      <c r="C765" s="133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GE765" s="133"/>
      <c r="GF765" s="133"/>
      <c r="GG765" s="133"/>
      <c r="GH765" s="133"/>
      <c r="GI765" s="133"/>
      <c r="GJ765" s="133"/>
      <c r="GK765" s="133"/>
      <c r="GL765" s="133"/>
      <c r="GM765" s="133"/>
      <c r="GN765" s="133"/>
      <c r="GO765" s="133"/>
      <c r="GP765" s="133"/>
      <c r="GQ765" s="133"/>
      <c r="GR765" s="133"/>
      <c r="GS765" s="133"/>
      <c r="GT765" s="133"/>
      <c r="GU765" s="133"/>
      <c r="GV765" s="133"/>
      <c r="GW765" s="133"/>
      <c r="GX765" s="133"/>
      <c r="GY765" s="133"/>
      <c r="GZ765" s="133"/>
      <c r="HA765" s="133"/>
      <c r="HB765" s="133"/>
      <c r="HC765" s="133"/>
      <c r="HD765" s="133"/>
      <c r="HE765" s="133"/>
      <c r="HF765" s="133"/>
      <c r="HG765" s="133"/>
      <c r="HH765" s="133"/>
      <c r="HI765" s="133"/>
      <c r="HJ765" s="133"/>
      <c r="HK765" s="133"/>
      <c r="HL765" s="133"/>
      <c r="HM765" s="133"/>
      <c r="HN765" s="133"/>
      <c r="HO765" s="133"/>
      <c r="HP765" s="133"/>
      <c r="HQ765" s="133"/>
      <c r="HR765" s="133"/>
      <c r="HS765" s="133"/>
      <c r="HT765" s="133"/>
      <c r="HU765" s="133"/>
      <c r="HV765" s="133"/>
      <c r="HW765" s="133"/>
      <c r="HX765" s="133"/>
      <c r="HY765" s="133"/>
      <c r="HZ765" s="133"/>
      <c r="IA765" s="133"/>
      <c r="IB765" s="133"/>
      <c r="IC765" s="133"/>
      <c r="ID765" s="133"/>
      <c r="IE765" s="133"/>
      <c r="IF765" s="133"/>
      <c r="IG765" s="133"/>
      <c r="IH765" s="133"/>
      <c r="II765" s="133"/>
      <c r="IJ765" s="133"/>
      <c r="IK765" s="133"/>
      <c r="IL765" s="133"/>
      <c r="IM765" s="133"/>
      <c r="IN765" s="133"/>
      <c r="IO765" s="133"/>
      <c r="IP765" s="133"/>
      <c r="IQ765" s="133"/>
      <c r="IR765" s="133"/>
      <c r="IS765" s="133"/>
      <c r="IT765" s="133"/>
      <c r="IU765" s="133"/>
      <c r="IV765" s="133"/>
    </row>
    <row r="766" spans="1:256" s="132" customFormat="1" ht="13.8">
      <c r="A766" s="133"/>
      <c r="B766" s="133"/>
      <c r="C766" s="133"/>
      <c r="D766" s="133"/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GE766" s="133"/>
      <c r="GF766" s="133"/>
      <c r="GG766" s="133"/>
      <c r="GH766" s="133"/>
      <c r="GI766" s="133"/>
      <c r="GJ766" s="133"/>
      <c r="GK766" s="133"/>
      <c r="GL766" s="133"/>
      <c r="GM766" s="133"/>
      <c r="GN766" s="133"/>
      <c r="GO766" s="133"/>
      <c r="GP766" s="133"/>
      <c r="GQ766" s="133"/>
      <c r="GR766" s="133"/>
      <c r="GS766" s="133"/>
      <c r="GT766" s="133"/>
      <c r="GU766" s="133"/>
      <c r="GV766" s="133"/>
      <c r="GW766" s="133"/>
      <c r="GX766" s="133"/>
      <c r="GY766" s="133"/>
      <c r="GZ766" s="133"/>
      <c r="HA766" s="133"/>
      <c r="HB766" s="133"/>
      <c r="HC766" s="133"/>
      <c r="HD766" s="133"/>
      <c r="HE766" s="133"/>
      <c r="HF766" s="133"/>
      <c r="HG766" s="133"/>
      <c r="HH766" s="133"/>
      <c r="HI766" s="133"/>
      <c r="HJ766" s="133"/>
      <c r="HK766" s="133"/>
      <c r="HL766" s="133"/>
      <c r="HM766" s="133"/>
      <c r="HN766" s="133"/>
      <c r="HO766" s="133"/>
      <c r="HP766" s="133"/>
      <c r="HQ766" s="133"/>
      <c r="HR766" s="133"/>
      <c r="HS766" s="133"/>
      <c r="HT766" s="133"/>
      <c r="HU766" s="133"/>
      <c r="HV766" s="133"/>
      <c r="HW766" s="133"/>
      <c r="HX766" s="133"/>
      <c r="HY766" s="133"/>
      <c r="HZ766" s="133"/>
      <c r="IA766" s="133"/>
      <c r="IB766" s="133"/>
      <c r="IC766" s="133"/>
      <c r="ID766" s="133"/>
      <c r="IE766" s="133"/>
      <c r="IF766" s="133"/>
      <c r="IG766" s="133"/>
      <c r="IH766" s="133"/>
      <c r="II766" s="133"/>
      <c r="IJ766" s="133"/>
      <c r="IK766" s="133"/>
      <c r="IL766" s="133"/>
      <c r="IM766" s="133"/>
      <c r="IN766" s="133"/>
      <c r="IO766" s="133"/>
      <c r="IP766" s="133"/>
      <c r="IQ766" s="133"/>
      <c r="IR766" s="133"/>
      <c r="IS766" s="133"/>
      <c r="IT766" s="133"/>
      <c r="IU766" s="133"/>
      <c r="IV766" s="133"/>
    </row>
    <row r="767" spans="1:256" s="132" customFormat="1" ht="13.8">
      <c r="A767" s="133"/>
      <c r="B767" s="133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GE767" s="133"/>
      <c r="GF767" s="133"/>
      <c r="GG767" s="133"/>
      <c r="GH767" s="133"/>
      <c r="GI767" s="133"/>
      <c r="GJ767" s="133"/>
      <c r="GK767" s="133"/>
      <c r="GL767" s="133"/>
      <c r="GM767" s="133"/>
      <c r="GN767" s="133"/>
      <c r="GO767" s="133"/>
      <c r="GP767" s="133"/>
      <c r="GQ767" s="133"/>
      <c r="GR767" s="133"/>
      <c r="GS767" s="133"/>
      <c r="GT767" s="133"/>
      <c r="GU767" s="133"/>
      <c r="GV767" s="133"/>
      <c r="GW767" s="133"/>
      <c r="GX767" s="133"/>
      <c r="GY767" s="133"/>
      <c r="GZ767" s="133"/>
      <c r="HA767" s="133"/>
      <c r="HB767" s="133"/>
      <c r="HC767" s="133"/>
      <c r="HD767" s="133"/>
      <c r="HE767" s="133"/>
      <c r="HF767" s="133"/>
      <c r="HG767" s="133"/>
      <c r="HH767" s="133"/>
      <c r="HI767" s="133"/>
      <c r="HJ767" s="133"/>
      <c r="HK767" s="133"/>
      <c r="HL767" s="133"/>
      <c r="HM767" s="133"/>
      <c r="HN767" s="133"/>
      <c r="HO767" s="133"/>
      <c r="HP767" s="133"/>
      <c r="HQ767" s="133"/>
      <c r="HR767" s="133"/>
      <c r="HS767" s="133"/>
      <c r="HT767" s="133"/>
      <c r="HU767" s="133"/>
      <c r="HV767" s="133"/>
      <c r="HW767" s="133"/>
      <c r="HX767" s="133"/>
      <c r="HY767" s="133"/>
      <c r="HZ767" s="133"/>
      <c r="IA767" s="133"/>
      <c r="IB767" s="133"/>
      <c r="IC767" s="133"/>
      <c r="ID767" s="133"/>
      <c r="IE767" s="133"/>
      <c r="IF767" s="133"/>
      <c r="IG767" s="133"/>
      <c r="IH767" s="133"/>
      <c r="II767" s="133"/>
      <c r="IJ767" s="133"/>
      <c r="IK767" s="133"/>
      <c r="IL767" s="133"/>
      <c r="IM767" s="133"/>
      <c r="IN767" s="133"/>
      <c r="IO767" s="133"/>
      <c r="IP767" s="133"/>
      <c r="IQ767" s="133"/>
      <c r="IR767" s="133"/>
      <c r="IS767" s="133"/>
      <c r="IT767" s="133"/>
      <c r="IU767" s="133"/>
      <c r="IV767" s="133"/>
    </row>
    <row r="768" spans="1:256" s="132" customFormat="1" ht="13.8">
      <c r="A768" s="133"/>
      <c r="B768" s="133"/>
      <c r="C768" s="133"/>
      <c r="D768" s="133"/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GE768" s="133"/>
      <c r="GF768" s="133"/>
      <c r="GG768" s="133"/>
      <c r="GH768" s="133"/>
      <c r="GI768" s="133"/>
      <c r="GJ768" s="133"/>
      <c r="GK768" s="133"/>
      <c r="GL768" s="133"/>
      <c r="GM768" s="133"/>
      <c r="GN768" s="133"/>
      <c r="GO768" s="133"/>
      <c r="GP768" s="133"/>
      <c r="GQ768" s="133"/>
      <c r="GR768" s="133"/>
      <c r="GS768" s="133"/>
      <c r="GT768" s="133"/>
      <c r="GU768" s="133"/>
      <c r="GV768" s="133"/>
      <c r="GW768" s="133"/>
      <c r="GX768" s="133"/>
      <c r="GY768" s="133"/>
      <c r="GZ768" s="133"/>
      <c r="HA768" s="133"/>
      <c r="HB768" s="133"/>
      <c r="HC768" s="133"/>
      <c r="HD768" s="133"/>
      <c r="HE768" s="133"/>
      <c r="HF768" s="133"/>
      <c r="HG768" s="133"/>
      <c r="HH768" s="133"/>
      <c r="HI768" s="133"/>
      <c r="HJ768" s="133"/>
      <c r="HK768" s="133"/>
      <c r="HL768" s="133"/>
      <c r="HM768" s="133"/>
      <c r="HN768" s="133"/>
      <c r="HO768" s="133"/>
      <c r="HP768" s="133"/>
      <c r="HQ768" s="133"/>
      <c r="HR768" s="133"/>
      <c r="HS768" s="133"/>
      <c r="HT768" s="133"/>
      <c r="HU768" s="133"/>
      <c r="HV768" s="133"/>
      <c r="HW768" s="133"/>
      <c r="HX768" s="133"/>
      <c r="HY768" s="133"/>
      <c r="HZ768" s="133"/>
      <c r="IA768" s="133"/>
      <c r="IB768" s="133"/>
      <c r="IC768" s="133"/>
      <c r="ID768" s="133"/>
      <c r="IE768" s="133"/>
      <c r="IF768" s="133"/>
      <c r="IG768" s="133"/>
      <c r="IH768" s="133"/>
      <c r="II768" s="133"/>
      <c r="IJ768" s="133"/>
      <c r="IK768" s="133"/>
      <c r="IL768" s="133"/>
      <c r="IM768" s="133"/>
      <c r="IN768" s="133"/>
      <c r="IO768" s="133"/>
      <c r="IP768" s="133"/>
      <c r="IQ768" s="133"/>
      <c r="IR768" s="133"/>
      <c r="IS768" s="133"/>
      <c r="IT768" s="133"/>
      <c r="IU768" s="133"/>
      <c r="IV768" s="133"/>
    </row>
    <row r="769" spans="1:256" s="132" customFormat="1" ht="13.8">
      <c r="A769" s="133"/>
      <c r="B769" s="133"/>
      <c r="C769" s="133"/>
      <c r="D769" s="133"/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GE769" s="133"/>
      <c r="GF769" s="133"/>
      <c r="GG769" s="133"/>
      <c r="GH769" s="133"/>
      <c r="GI769" s="133"/>
      <c r="GJ769" s="133"/>
      <c r="GK769" s="133"/>
      <c r="GL769" s="133"/>
      <c r="GM769" s="133"/>
      <c r="GN769" s="133"/>
      <c r="GO769" s="133"/>
      <c r="GP769" s="133"/>
      <c r="GQ769" s="133"/>
      <c r="GR769" s="133"/>
      <c r="GS769" s="133"/>
      <c r="GT769" s="133"/>
      <c r="GU769" s="133"/>
      <c r="GV769" s="133"/>
      <c r="GW769" s="133"/>
      <c r="GX769" s="133"/>
      <c r="GY769" s="133"/>
      <c r="GZ769" s="133"/>
      <c r="HA769" s="133"/>
      <c r="HB769" s="133"/>
      <c r="HC769" s="133"/>
      <c r="HD769" s="133"/>
      <c r="HE769" s="133"/>
      <c r="HF769" s="133"/>
      <c r="HG769" s="133"/>
      <c r="HH769" s="133"/>
      <c r="HI769" s="133"/>
      <c r="HJ769" s="133"/>
      <c r="HK769" s="133"/>
      <c r="HL769" s="133"/>
      <c r="HM769" s="133"/>
      <c r="HN769" s="133"/>
      <c r="HO769" s="133"/>
      <c r="HP769" s="133"/>
      <c r="HQ769" s="133"/>
      <c r="HR769" s="133"/>
      <c r="HS769" s="133"/>
      <c r="HT769" s="133"/>
      <c r="HU769" s="133"/>
      <c r="HV769" s="133"/>
      <c r="HW769" s="133"/>
      <c r="HX769" s="133"/>
      <c r="HY769" s="133"/>
      <c r="HZ769" s="133"/>
      <c r="IA769" s="133"/>
      <c r="IB769" s="133"/>
      <c r="IC769" s="133"/>
      <c r="ID769" s="133"/>
      <c r="IE769" s="133"/>
      <c r="IF769" s="133"/>
      <c r="IG769" s="133"/>
      <c r="IH769" s="133"/>
      <c r="II769" s="133"/>
      <c r="IJ769" s="133"/>
      <c r="IK769" s="133"/>
      <c r="IL769" s="133"/>
      <c r="IM769" s="133"/>
      <c r="IN769" s="133"/>
      <c r="IO769" s="133"/>
      <c r="IP769" s="133"/>
      <c r="IQ769" s="133"/>
      <c r="IR769" s="133"/>
      <c r="IS769" s="133"/>
      <c r="IT769" s="133"/>
      <c r="IU769" s="133"/>
      <c r="IV769" s="133"/>
    </row>
    <row r="770" spans="1:256" s="132" customFormat="1" ht="13.8">
      <c r="A770" s="133"/>
      <c r="B770" s="133"/>
      <c r="C770" s="133"/>
      <c r="D770" s="133"/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GE770" s="133"/>
      <c r="GF770" s="133"/>
      <c r="GG770" s="133"/>
      <c r="GH770" s="133"/>
      <c r="GI770" s="133"/>
      <c r="GJ770" s="133"/>
      <c r="GK770" s="133"/>
      <c r="GL770" s="133"/>
      <c r="GM770" s="133"/>
      <c r="GN770" s="133"/>
      <c r="GO770" s="133"/>
      <c r="GP770" s="133"/>
      <c r="GQ770" s="133"/>
      <c r="GR770" s="133"/>
      <c r="GS770" s="133"/>
      <c r="GT770" s="133"/>
      <c r="GU770" s="133"/>
      <c r="GV770" s="133"/>
      <c r="GW770" s="133"/>
      <c r="GX770" s="133"/>
      <c r="GY770" s="133"/>
      <c r="GZ770" s="133"/>
      <c r="HA770" s="133"/>
      <c r="HB770" s="133"/>
      <c r="HC770" s="133"/>
      <c r="HD770" s="133"/>
      <c r="HE770" s="133"/>
      <c r="HF770" s="133"/>
      <c r="HG770" s="133"/>
      <c r="HH770" s="133"/>
      <c r="HI770" s="133"/>
      <c r="HJ770" s="133"/>
      <c r="HK770" s="133"/>
      <c r="HL770" s="133"/>
      <c r="HM770" s="133"/>
      <c r="HN770" s="133"/>
      <c r="HO770" s="133"/>
      <c r="HP770" s="133"/>
      <c r="HQ770" s="133"/>
      <c r="HR770" s="133"/>
      <c r="HS770" s="133"/>
      <c r="HT770" s="133"/>
      <c r="HU770" s="133"/>
      <c r="HV770" s="133"/>
      <c r="HW770" s="133"/>
      <c r="HX770" s="133"/>
      <c r="HY770" s="133"/>
      <c r="HZ770" s="133"/>
      <c r="IA770" s="133"/>
      <c r="IB770" s="133"/>
      <c r="IC770" s="133"/>
      <c r="ID770" s="133"/>
      <c r="IE770" s="133"/>
      <c r="IF770" s="133"/>
      <c r="IG770" s="133"/>
      <c r="IH770" s="133"/>
      <c r="II770" s="133"/>
      <c r="IJ770" s="133"/>
      <c r="IK770" s="133"/>
      <c r="IL770" s="133"/>
      <c r="IM770" s="133"/>
      <c r="IN770" s="133"/>
      <c r="IO770" s="133"/>
      <c r="IP770" s="133"/>
      <c r="IQ770" s="133"/>
      <c r="IR770" s="133"/>
      <c r="IS770" s="133"/>
      <c r="IT770" s="133"/>
      <c r="IU770" s="133"/>
      <c r="IV770" s="133"/>
    </row>
    <row r="771" spans="1:256" s="132" customFormat="1" ht="13.8">
      <c r="A771" s="133"/>
      <c r="B771" s="133"/>
      <c r="C771" s="133"/>
      <c r="D771" s="133"/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GE771" s="133"/>
      <c r="GF771" s="133"/>
      <c r="GG771" s="133"/>
      <c r="GH771" s="133"/>
      <c r="GI771" s="133"/>
      <c r="GJ771" s="133"/>
      <c r="GK771" s="133"/>
      <c r="GL771" s="133"/>
      <c r="GM771" s="133"/>
      <c r="GN771" s="133"/>
      <c r="GO771" s="133"/>
      <c r="GP771" s="133"/>
      <c r="GQ771" s="133"/>
      <c r="GR771" s="133"/>
      <c r="GS771" s="133"/>
      <c r="GT771" s="133"/>
      <c r="GU771" s="133"/>
      <c r="GV771" s="133"/>
      <c r="GW771" s="133"/>
      <c r="GX771" s="133"/>
      <c r="GY771" s="133"/>
      <c r="GZ771" s="133"/>
      <c r="HA771" s="133"/>
      <c r="HB771" s="133"/>
      <c r="HC771" s="133"/>
      <c r="HD771" s="133"/>
      <c r="HE771" s="133"/>
      <c r="HF771" s="133"/>
      <c r="HG771" s="133"/>
      <c r="HH771" s="133"/>
      <c r="HI771" s="133"/>
      <c r="HJ771" s="133"/>
      <c r="HK771" s="133"/>
      <c r="HL771" s="133"/>
      <c r="HM771" s="133"/>
      <c r="HN771" s="133"/>
      <c r="HO771" s="133"/>
      <c r="HP771" s="133"/>
      <c r="HQ771" s="133"/>
      <c r="HR771" s="133"/>
      <c r="HS771" s="133"/>
      <c r="HT771" s="133"/>
      <c r="HU771" s="133"/>
      <c r="HV771" s="133"/>
      <c r="HW771" s="133"/>
      <c r="HX771" s="133"/>
      <c r="HY771" s="133"/>
      <c r="HZ771" s="133"/>
      <c r="IA771" s="133"/>
      <c r="IB771" s="133"/>
      <c r="IC771" s="133"/>
      <c r="ID771" s="133"/>
      <c r="IE771" s="133"/>
      <c r="IF771" s="133"/>
      <c r="IG771" s="133"/>
      <c r="IH771" s="133"/>
      <c r="II771" s="133"/>
      <c r="IJ771" s="133"/>
      <c r="IK771" s="133"/>
      <c r="IL771" s="133"/>
      <c r="IM771" s="133"/>
      <c r="IN771" s="133"/>
      <c r="IO771" s="133"/>
      <c r="IP771" s="133"/>
      <c r="IQ771" s="133"/>
      <c r="IR771" s="133"/>
      <c r="IS771" s="133"/>
      <c r="IT771" s="133"/>
      <c r="IU771" s="133"/>
      <c r="IV771" s="133"/>
    </row>
    <row r="772" spans="1:256" s="132" customFormat="1" ht="13.8">
      <c r="A772" s="133"/>
      <c r="B772" s="133"/>
      <c r="C772" s="133"/>
      <c r="D772" s="133"/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GE772" s="133"/>
      <c r="GF772" s="133"/>
      <c r="GG772" s="133"/>
      <c r="GH772" s="133"/>
      <c r="GI772" s="133"/>
      <c r="GJ772" s="133"/>
      <c r="GK772" s="133"/>
      <c r="GL772" s="133"/>
      <c r="GM772" s="133"/>
      <c r="GN772" s="133"/>
      <c r="GO772" s="133"/>
      <c r="GP772" s="133"/>
      <c r="GQ772" s="133"/>
      <c r="GR772" s="133"/>
      <c r="GS772" s="133"/>
      <c r="GT772" s="133"/>
      <c r="GU772" s="133"/>
      <c r="GV772" s="133"/>
      <c r="GW772" s="133"/>
      <c r="GX772" s="133"/>
      <c r="GY772" s="133"/>
      <c r="GZ772" s="133"/>
      <c r="HA772" s="133"/>
      <c r="HB772" s="133"/>
      <c r="HC772" s="133"/>
      <c r="HD772" s="133"/>
      <c r="HE772" s="133"/>
      <c r="HF772" s="133"/>
      <c r="HG772" s="133"/>
      <c r="HH772" s="133"/>
      <c r="HI772" s="133"/>
      <c r="HJ772" s="133"/>
      <c r="HK772" s="133"/>
      <c r="HL772" s="133"/>
      <c r="HM772" s="133"/>
      <c r="HN772" s="133"/>
      <c r="HO772" s="133"/>
      <c r="HP772" s="133"/>
      <c r="HQ772" s="133"/>
      <c r="HR772" s="133"/>
      <c r="HS772" s="133"/>
      <c r="HT772" s="133"/>
      <c r="HU772" s="133"/>
      <c r="HV772" s="133"/>
      <c r="HW772" s="133"/>
      <c r="HX772" s="133"/>
      <c r="HY772" s="133"/>
      <c r="HZ772" s="133"/>
      <c r="IA772" s="133"/>
      <c r="IB772" s="133"/>
      <c r="IC772" s="133"/>
      <c r="ID772" s="133"/>
      <c r="IE772" s="133"/>
      <c r="IF772" s="133"/>
      <c r="IG772" s="133"/>
      <c r="IH772" s="133"/>
      <c r="II772" s="133"/>
      <c r="IJ772" s="133"/>
      <c r="IK772" s="133"/>
      <c r="IL772" s="133"/>
      <c r="IM772" s="133"/>
      <c r="IN772" s="133"/>
      <c r="IO772" s="133"/>
      <c r="IP772" s="133"/>
      <c r="IQ772" s="133"/>
      <c r="IR772" s="133"/>
      <c r="IS772" s="133"/>
      <c r="IT772" s="133"/>
      <c r="IU772" s="133"/>
      <c r="IV772" s="133"/>
    </row>
    <row r="773" spans="1:256" s="132" customFormat="1" ht="13.8">
      <c r="A773" s="133"/>
      <c r="B773" s="133"/>
      <c r="C773" s="133"/>
      <c r="D773" s="133"/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GE773" s="133"/>
      <c r="GF773" s="133"/>
      <c r="GG773" s="133"/>
      <c r="GH773" s="133"/>
      <c r="GI773" s="133"/>
      <c r="GJ773" s="133"/>
      <c r="GK773" s="133"/>
      <c r="GL773" s="133"/>
      <c r="GM773" s="133"/>
      <c r="GN773" s="133"/>
      <c r="GO773" s="133"/>
      <c r="GP773" s="133"/>
      <c r="GQ773" s="133"/>
      <c r="GR773" s="133"/>
      <c r="GS773" s="133"/>
      <c r="GT773" s="133"/>
      <c r="GU773" s="133"/>
      <c r="GV773" s="133"/>
      <c r="GW773" s="133"/>
      <c r="GX773" s="133"/>
      <c r="GY773" s="133"/>
      <c r="GZ773" s="133"/>
      <c r="HA773" s="133"/>
      <c r="HB773" s="133"/>
      <c r="HC773" s="133"/>
      <c r="HD773" s="133"/>
      <c r="HE773" s="133"/>
      <c r="HF773" s="133"/>
      <c r="HG773" s="133"/>
      <c r="HH773" s="133"/>
      <c r="HI773" s="133"/>
      <c r="HJ773" s="133"/>
      <c r="HK773" s="133"/>
      <c r="HL773" s="133"/>
      <c r="HM773" s="133"/>
      <c r="HN773" s="133"/>
      <c r="HO773" s="133"/>
      <c r="HP773" s="133"/>
      <c r="HQ773" s="133"/>
      <c r="HR773" s="133"/>
      <c r="HS773" s="133"/>
      <c r="HT773" s="133"/>
      <c r="HU773" s="133"/>
      <c r="HV773" s="133"/>
      <c r="HW773" s="133"/>
      <c r="HX773" s="133"/>
      <c r="HY773" s="133"/>
      <c r="HZ773" s="133"/>
      <c r="IA773" s="133"/>
      <c r="IB773" s="133"/>
      <c r="IC773" s="133"/>
      <c r="ID773" s="133"/>
      <c r="IE773" s="133"/>
      <c r="IF773" s="133"/>
      <c r="IG773" s="133"/>
      <c r="IH773" s="133"/>
      <c r="II773" s="133"/>
      <c r="IJ773" s="133"/>
      <c r="IK773" s="133"/>
      <c r="IL773" s="133"/>
      <c r="IM773" s="133"/>
      <c r="IN773" s="133"/>
      <c r="IO773" s="133"/>
      <c r="IP773" s="133"/>
      <c r="IQ773" s="133"/>
      <c r="IR773" s="133"/>
      <c r="IS773" s="133"/>
      <c r="IT773" s="133"/>
      <c r="IU773" s="133"/>
      <c r="IV773" s="133"/>
    </row>
    <row r="774" spans="1:256" s="132" customFormat="1" ht="13.8">
      <c r="A774" s="133"/>
      <c r="B774" s="133"/>
      <c r="C774" s="133"/>
      <c r="D774" s="133"/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GE774" s="133"/>
      <c r="GF774" s="133"/>
      <c r="GG774" s="133"/>
      <c r="GH774" s="133"/>
      <c r="GI774" s="133"/>
      <c r="GJ774" s="133"/>
      <c r="GK774" s="133"/>
      <c r="GL774" s="133"/>
      <c r="GM774" s="133"/>
      <c r="GN774" s="133"/>
      <c r="GO774" s="133"/>
      <c r="GP774" s="133"/>
      <c r="GQ774" s="133"/>
      <c r="GR774" s="133"/>
      <c r="GS774" s="133"/>
      <c r="GT774" s="133"/>
      <c r="GU774" s="133"/>
      <c r="GV774" s="133"/>
      <c r="GW774" s="133"/>
      <c r="GX774" s="133"/>
      <c r="GY774" s="133"/>
      <c r="GZ774" s="133"/>
      <c r="HA774" s="133"/>
      <c r="HB774" s="133"/>
      <c r="HC774" s="133"/>
      <c r="HD774" s="133"/>
      <c r="HE774" s="133"/>
      <c r="HF774" s="133"/>
      <c r="HG774" s="133"/>
      <c r="HH774" s="133"/>
      <c r="HI774" s="133"/>
      <c r="HJ774" s="133"/>
      <c r="HK774" s="133"/>
      <c r="HL774" s="133"/>
      <c r="HM774" s="133"/>
      <c r="HN774" s="133"/>
      <c r="HO774" s="133"/>
      <c r="HP774" s="133"/>
      <c r="HQ774" s="133"/>
      <c r="HR774" s="133"/>
      <c r="HS774" s="133"/>
      <c r="HT774" s="133"/>
      <c r="HU774" s="133"/>
      <c r="HV774" s="133"/>
      <c r="HW774" s="133"/>
      <c r="HX774" s="133"/>
      <c r="HY774" s="133"/>
      <c r="HZ774" s="133"/>
      <c r="IA774" s="133"/>
      <c r="IB774" s="133"/>
      <c r="IC774" s="133"/>
      <c r="ID774" s="133"/>
      <c r="IE774" s="133"/>
      <c r="IF774" s="133"/>
      <c r="IG774" s="133"/>
      <c r="IH774" s="133"/>
      <c r="II774" s="133"/>
      <c r="IJ774" s="133"/>
      <c r="IK774" s="133"/>
      <c r="IL774" s="133"/>
      <c r="IM774" s="133"/>
      <c r="IN774" s="133"/>
      <c r="IO774" s="133"/>
      <c r="IP774" s="133"/>
      <c r="IQ774" s="133"/>
      <c r="IR774" s="133"/>
      <c r="IS774" s="133"/>
      <c r="IT774" s="133"/>
      <c r="IU774" s="133"/>
      <c r="IV774" s="133"/>
    </row>
    <row r="775" spans="1:256" s="132" customFormat="1" ht="13.8">
      <c r="A775" s="133"/>
      <c r="B775" s="133"/>
      <c r="C775" s="133"/>
      <c r="D775" s="133"/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GE775" s="133"/>
      <c r="GF775" s="133"/>
      <c r="GG775" s="133"/>
      <c r="GH775" s="133"/>
      <c r="GI775" s="133"/>
      <c r="GJ775" s="133"/>
      <c r="GK775" s="133"/>
      <c r="GL775" s="133"/>
      <c r="GM775" s="133"/>
      <c r="GN775" s="133"/>
      <c r="GO775" s="133"/>
      <c r="GP775" s="133"/>
      <c r="GQ775" s="133"/>
      <c r="GR775" s="133"/>
      <c r="GS775" s="133"/>
      <c r="GT775" s="133"/>
      <c r="GU775" s="133"/>
      <c r="GV775" s="133"/>
      <c r="GW775" s="133"/>
      <c r="GX775" s="133"/>
      <c r="GY775" s="133"/>
      <c r="GZ775" s="133"/>
      <c r="HA775" s="133"/>
      <c r="HB775" s="133"/>
      <c r="HC775" s="133"/>
      <c r="HD775" s="133"/>
      <c r="HE775" s="133"/>
      <c r="HF775" s="133"/>
      <c r="HG775" s="133"/>
      <c r="HH775" s="133"/>
      <c r="HI775" s="133"/>
      <c r="HJ775" s="133"/>
      <c r="HK775" s="133"/>
      <c r="HL775" s="133"/>
      <c r="HM775" s="133"/>
      <c r="HN775" s="133"/>
      <c r="HO775" s="133"/>
      <c r="HP775" s="133"/>
      <c r="HQ775" s="133"/>
      <c r="HR775" s="133"/>
      <c r="HS775" s="133"/>
      <c r="HT775" s="133"/>
      <c r="HU775" s="133"/>
      <c r="HV775" s="133"/>
      <c r="HW775" s="133"/>
      <c r="HX775" s="133"/>
      <c r="HY775" s="133"/>
      <c r="HZ775" s="133"/>
      <c r="IA775" s="133"/>
      <c r="IB775" s="133"/>
      <c r="IC775" s="133"/>
      <c r="ID775" s="133"/>
      <c r="IE775" s="133"/>
      <c r="IF775" s="133"/>
      <c r="IG775" s="133"/>
      <c r="IH775" s="133"/>
      <c r="II775" s="133"/>
      <c r="IJ775" s="133"/>
      <c r="IK775" s="133"/>
      <c r="IL775" s="133"/>
      <c r="IM775" s="133"/>
      <c r="IN775" s="133"/>
      <c r="IO775" s="133"/>
      <c r="IP775" s="133"/>
      <c r="IQ775" s="133"/>
      <c r="IR775" s="133"/>
      <c r="IS775" s="133"/>
      <c r="IT775" s="133"/>
      <c r="IU775" s="133"/>
      <c r="IV775" s="133"/>
    </row>
    <row r="776" spans="1:256" s="132" customFormat="1" ht="13.8">
      <c r="A776" s="133"/>
      <c r="B776" s="133"/>
      <c r="C776" s="133"/>
      <c r="D776" s="133"/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GE776" s="133"/>
      <c r="GF776" s="133"/>
      <c r="GG776" s="133"/>
      <c r="GH776" s="133"/>
      <c r="GI776" s="133"/>
      <c r="GJ776" s="133"/>
      <c r="GK776" s="133"/>
      <c r="GL776" s="133"/>
      <c r="GM776" s="133"/>
      <c r="GN776" s="133"/>
      <c r="GO776" s="133"/>
      <c r="GP776" s="133"/>
      <c r="GQ776" s="133"/>
      <c r="GR776" s="133"/>
      <c r="GS776" s="133"/>
      <c r="GT776" s="133"/>
      <c r="GU776" s="133"/>
      <c r="GV776" s="133"/>
      <c r="GW776" s="133"/>
      <c r="GX776" s="133"/>
      <c r="GY776" s="133"/>
      <c r="GZ776" s="133"/>
      <c r="HA776" s="133"/>
      <c r="HB776" s="133"/>
      <c r="HC776" s="133"/>
      <c r="HD776" s="133"/>
      <c r="HE776" s="133"/>
      <c r="HF776" s="133"/>
      <c r="HG776" s="133"/>
      <c r="HH776" s="133"/>
      <c r="HI776" s="133"/>
      <c r="HJ776" s="133"/>
      <c r="HK776" s="133"/>
      <c r="HL776" s="133"/>
      <c r="HM776" s="133"/>
      <c r="HN776" s="133"/>
      <c r="HO776" s="133"/>
      <c r="HP776" s="133"/>
      <c r="HQ776" s="133"/>
      <c r="HR776" s="133"/>
      <c r="HS776" s="133"/>
      <c r="HT776" s="133"/>
      <c r="HU776" s="133"/>
      <c r="HV776" s="133"/>
      <c r="HW776" s="133"/>
      <c r="HX776" s="133"/>
      <c r="HY776" s="133"/>
      <c r="HZ776" s="133"/>
      <c r="IA776" s="133"/>
      <c r="IB776" s="133"/>
      <c r="IC776" s="133"/>
      <c r="ID776" s="133"/>
      <c r="IE776" s="133"/>
      <c r="IF776" s="133"/>
      <c r="IG776" s="133"/>
      <c r="IH776" s="133"/>
      <c r="II776" s="133"/>
      <c r="IJ776" s="133"/>
      <c r="IK776" s="133"/>
      <c r="IL776" s="133"/>
      <c r="IM776" s="133"/>
      <c r="IN776" s="133"/>
      <c r="IO776" s="133"/>
      <c r="IP776" s="133"/>
      <c r="IQ776" s="133"/>
      <c r="IR776" s="133"/>
      <c r="IS776" s="133"/>
      <c r="IT776" s="133"/>
      <c r="IU776" s="133"/>
      <c r="IV776" s="133"/>
    </row>
    <row r="777" spans="1:256" s="132" customFormat="1" ht="13.8">
      <c r="A777" s="133"/>
      <c r="B777" s="133"/>
      <c r="C777" s="133"/>
      <c r="D777" s="133"/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GE777" s="133"/>
      <c r="GF777" s="133"/>
      <c r="GG777" s="133"/>
      <c r="GH777" s="133"/>
      <c r="GI777" s="133"/>
      <c r="GJ777" s="133"/>
      <c r="GK777" s="133"/>
      <c r="GL777" s="133"/>
      <c r="GM777" s="133"/>
      <c r="GN777" s="133"/>
      <c r="GO777" s="133"/>
      <c r="GP777" s="133"/>
      <c r="GQ777" s="133"/>
      <c r="GR777" s="133"/>
      <c r="GS777" s="133"/>
      <c r="GT777" s="133"/>
      <c r="GU777" s="133"/>
      <c r="GV777" s="133"/>
      <c r="GW777" s="133"/>
      <c r="GX777" s="133"/>
      <c r="GY777" s="133"/>
      <c r="GZ777" s="133"/>
      <c r="HA777" s="133"/>
      <c r="HB777" s="133"/>
      <c r="HC777" s="133"/>
      <c r="HD777" s="133"/>
      <c r="HE777" s="133"/>
      <c r="HF777" s="133"/>
      <c r="HG777" s="133"/>
      <c r="HH777" s="133"/>
      <c r="HI777" s="133"/>
      <c r="HJ777" s="133"/>
      <c r="HK777" s="133"/>
      <c r="HL777" s="133"/>
      <c r="HM777" s="133"/>
      <c r="HN777" s="133"/>
      <c r="HO777" s="133"/>
      <c r="HP777" s="133"/>
      <c r="HQ777" s="133"/>
      <c r="HR777" s="133"/>
      <c r="HS777" s="133"/>
      <c r="HT777" s="133"/>
      <c r="HU777" s="133"/>
      <c r="HV777" s="133"/>
      <c r="HW777" s="133"/>
      <c r="HX777" s="133"/>
      <c r="HY777" s="133"/>
      <c r="HZ777" s="133"/>
      <c r="IA777" s="133"/>
      <c r="IB777" s="133"/>
      <c r="IC777" s="133"/>
      <c r="ID777" s="133"/>
      <c r="IE777" s="133"/>
      <c r="IF777" s="133"/>
      <c r="IG777" s="133"/>
      <c r="IH777" s="133"/>
      <c r="II777" s="133"/>
      <c r="IJ777" s="133"/>
      <c r="IK777" s="133"/>
      <c r="IL777" s="133"/>
      <c r="IM777" s="133"/>
      <c r="IN777" s="133"/>
      <c r="IO777" s="133"/>
      <c r="IP777" s="133"/>
      <c r="IQ777" s="133"/>
      <c r="IR777" s="133"/>
      <c r="IS777" s="133"/>
      <c r="IT777" s="133"/>
      <c r="IU777" s="133"/>
      <c r="IV777" s="133"/>
    </row>
    <row r="778" spans="1:256" s="132" customFormat="1" ht="13.8">
      <c r="A778" s="133"/>
      <c r="B778" s="133"/>
      <c r="C778" s="133"/>
      <c r="D778" s="133"/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GE778" s="133"/>
      <c r="GF778" s="133"/>
      <c r="GG778" s="133"/>
      <c r="GH778" s="133"/>
      <c r="GI778" s="133"/>
      <c r="GJ778" s="133"/>
      <c r="GK778" s="133"/>
      <c r="GL778" s="133"/>
      <c r="GM778" s="133"/>
      <c r="GN778" s="133"/>
      <c r="GO778" s="133"/>
      <c r="GP778" s="133"/>
      <c r="GQ778" s="133"/>
      <c r="GR778" s="133"/>
      <c r="GS778" s="133"/>
      <c r="GT778" s="133"/>
      <c r="GU778" s="133"/>
      <c r="GV778" s="133"/>
      <c r="GW778" s="133"/>
      <c r="GX778" s="133"/>
      <c r="GY778" s="133"/>
      <c r="GZ778" s="133"/>
      <c r="HA778" s="133"/>
      <c r="HB778" s="133"/>
      <c r="HC778" s="133"/>
      <c r="HD778" s="133"/>
      <c r="HE778" s="133"/>
      <c r="HF778" s="133"/>
      <c r="HG778" s="133"/>
      <c r="HH778" s="133"/>
      <c r="HI778" s="133"/>
      <c r="HJ778" s="133"/>
      <c r="HK778" s="133"/>
      <c r="HL778" s="133"/>
      <c r="HM778" s="133"/>
      <c r="HN778" s="133"/>
      <c r="HO778" s="133"/>
      <c r="HP778" s="133"/>
      <c r="HQ778" s="133"/>
      <c r="HR778" s="133"/>
      <c r="HS778" s="133"/>
      <c r="HT778" s="133"/>
      <c r="HU778" s="133"/>
      <c r="HV778" s="133"/>
      <c r="HW778" s="133"/>
      <c r="HX778" s="133"/>
      <c r="HY778" s="133"/>
      <c r="HZ778" s="133"/>
      <c r="IA778" s="133"/>
      <c r="IB778" s="133"/>
      <c r="IC778" s="133"/>
      <c r="ID778" s="133"/>
      <c r="IE778" s="133"/>
      <c r="IF778" s="133"/>
      <c r="IG778" s="133"/>
      <c r="IH778" s="133"/>
      <c r="II778" s="133"/>
      <c r="IJ778" s="133"/>
      <c r="IK778" s="133"/>
      <c r="IL778" s="133"/>
      <c r="IM778" s="133"/>
      <c r="IN778" s="133"/>
      <c r="IO778" s="133"/>
      <c r="IP778" s="133"/>
      <c r="IQ778" s="133"/>
      <c r="IR778" s="133"/>
      <c r="IS778" s="133"/>
      <c r="IT778" s="133"/>
      <c r="IU778" s="133"/>
      <c r="IV778" s="133"/>
    </row>
    <row r="779" spans="1:256" s="132" customFormat="1" ht="13.8">
      <c r="A779" s="133"/>
      <c r="B779" s="133"/>
      <c r="C779" s="133"/>
      <c r="D779" s="133"/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GE779" s="133"/>
      <c r="GF779" s="133"/>
      <c r="GG779" s="133"/>
      <c r="GH779" s="133"/>
      <c r="GI779" s="133"/>
      <c r="GJ779" s="133"/>
      <c r="GK779" s="133"/>
      <c r="GL779" s="133"/>
      <c r="GM779" s="133"/>
      <c r="GN779" s="133"/>
      <c r="GO779" s="133"/>
      <c r="GP779" s="133"/>
      <c r="GQ779" s="133"/>
      <c r="GR779" s="133"/>
      <c r="GS779" s="133"/>
      <c r="GT779" s="133"/>
      <c r="GU779" s="133"/>
      <c r="GV779" s="133"/>
      <c r="GW779" s="133"/>
      <c r="GX779" s="133"/>
      <c r="GY779" s="133"/>
      <c r="GZ779" s="133"/>
      <c r="HA779" s="133"/>
      <c r="HB779" s="133"/>
      <c r="HC779" s="133"/>
      <c r="HD779" s="133"/>
      <c r="HE779" s="133"/>
      <c r="HF779" s="133"/>
      <c r="HG779" s="133"/>
      <c r="HH779" s="133"/>
      <c r="HI779" s="133"/>
      <c r="HJ779" s="133"/>
      <c r="HK779" s="133"/>
      <c r="HL779" s="133"/>
      <c r="HM779" s="133"/>
      <c r="HN779" s="133"/>
      <c r="HO779" s="133"/>
      <c r="HP779" s="133"/>
      <c r="HQ779" s="133"/>
      <c r="HR779" s="133"/>
      <c r="HS779" s="133"/>
      <c r="HT779" s="133"/>
      <c r="HU779" s="133"/>
      <c r="HV779" s="133"/>
      <c r="HW779" s="133"/>
      <c r="HX779" s="133"/>
      <c r="HY779" s="133"/>
      <c r="HZ779" s="133"/>
      <c r="IA779" s="133"/>
      <c r="IB779" s="133"/>
      <c r="IC779" s="133"/>
      <c r="ID779" s="133"/>
      <c r="IE779" s="133"/>
      <c r="IF779" s="133"/>
      <c r="IG779" s="133"/>
      <c r="IH779" s="133"/>
      <c r="II779" s="133"/>
      <c r="IJ779" s="133"/>
      <c r="IK779" s="133"/>
      <c r="IL779" s="133"/>
      <c r="IM779" s="133"/>
      <c r="IN779" s="133"/>
      <c r="IO779" s="133"/>
      <c r="IP779" s="133"/>
      <c r="IQ779" s="133"/>
      <c r="IR779" s="133"/>
      <c r="IS779" s="133"/>
      <c r="IT779" s="133"/>
      <c r="IU779" s="133"/>
      <c r="IV779" s="133"/>
    </row>
    <row r="780" spans="1:256" s="132" customFormat="1" ht="13.8">
      <c r="A780" s="133"/>
      <c r="B780" s="133"/>
      <c r="C780" s="133"/>
      <c r="D780" s="133"/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GE780" s="133"/>
      <c r="GF780" s="133"/>
      <c r="GG780" s="133"/>
      <c r="GH780" s="133"/>
      <c r="GI780" s="133"/>
      <c r="GJ780" s="133"/>
      <c r="GK780" s="133"/>
      <c r="GL780" s="133"/>
      <c r="GM780" s="133"/>
      <c r="GN780" s="133"/>
      <c r="GO780" s="133"/>
      <c r="GP780" s="133"/>
      <c r="GQ780" s="133"/>
      <c r="GR780" s="133"/>
      <c r="GS780" s="133"/>
      <c r="GT780" s="133"/>
      <c r="GU780" s="133"/>
      <c r="GV780" s="133"/>
      <c r="GW780" s="133"/>
      <c r="GX780" s="133"/>
      <c r="GY780" s="133"/>
      <c r="GZ780" s="133"/>
      <c r="HA780" s="133"/>
      <c r="HB780" s="133"/>
      <c r="HC780" s="133"/>
      <c r="HD780" s="133"/>
      <c r="HE780" s="133"/>
      <c r="HF780" s="133"/>
      <c r="HG780" s="133"/>
      <c r="HH780" s="133"/>
      <c r="HI780" s="133"/>
      <c r="HJ780" s="133"/>
      <c r="HK780" s="133"/>
      <c r="HL780" s="133"/>
      <c r="HM780" s="133"/>
      <c r="HN780" s="133"/>
      <c r="HO780" s="133"/>
      <c r="HP780" s="133"/>
      <c r="HQ780" s="133"/>
      <c r="HR780" s="133"/>
      <c r="HS780" s="133"/>
      <c r="HT780" s="133"/>
      <c r="HU780" s="133"/>
      <c r="HV780" s="133"/>
      <c r="HW780" s="133"/>
      <c r="HX780" s="133"/>
      <c r="HY780" s="133"/>
      <c r="HZ780" s="133"/>
      <c r="IA780" s="133"/>
      <c r="IB780" s="133"/>
      <c r="IC780" s="133"/>
      <c r="ID780" s="133"/>
      <c r="IE780" s="133"/>
      <c r="IF780" s="133"/>
      <c r="IG780" s="133"/>
      <c r="IH780" s="133"/>
      <c r="II780" s="133"/>
      <c r="IJ780" s="133"/>
      <c r="IK780" s="133"/>
      <c r="IL780" s="133"/>
      <c r="IM780" s="133"/>
      <c r="IN780" s="133"/>
      <c r="IO780" s="133"/>
      <c r="IP780" s="133"/>
      <c r="IQ780" s="133"/>
      <c r="IR780" s="133"/>
      <c r="IS780" s="133"/>
      <c r="IT780" s="133"/>
      <c r="IU780" s="133"/>
      <c r="IV780" s="133"/>
    </row>
    <row r="781" spans="1:256" s="132" customFormat="1" ht="13.8">
      <c r="A781" s="133"/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GE781" s="133"/>
      <c r="GF781" s="133"/>
      <c r="GG781" s="133"/>
      <c r="GH781" s="133"/>
      <c r="GI781" s="133"/>
      <c r="GJ781" s="133"/>
      <c r="GK781" s="133"/>
      <c r="GL781" s="133"/>
      <c r="GM781" s="133"/>
      <c r="GN781" s="133"/>
      <c r="GO781" s="133"/>
      <c r="GP781" s="133"/>
      <c r="GQ781" s="133"/>
      <c r="GR781" s="133"/>
      <c r="GS781" s="133"/>
      <c r="GT781" s="133"/>
      <c r="GU781" s="133"/>
      <c r="GV781" s="133"/>
      <c r="GW781" s="133"/>
      <c r="GX781" s="133"/>
      <c r="GY781" s="133"/>
      <c r="GZ781" s="133"/>
      <c r="HA781" s="133"/>
      <c r="HB781" s="133"/>
      <c r="HC781" s="133"/>
      <c r="HD781" s="133"/>
      <c r="HE781" s="133"/>
      <c r="HF781" s="133"/>
      <c r="HG781" s="133"/>
      <c r="HH781" s="133"/>
      <c r="HI781" s="133"/>
      <c r="HJ781" s="133"/>
      <c r="HK781" s="133"/>
      <c r="HL781" s="133"/>
      <c r="HM781" s="133"/>
      <c r="HN781" s="133"/>
      <c r="HO781" s="133"/>
      <c r="HP781" s="133"/>
      <c r="HQ781" s="133"/>
      <c r="HR781" s="133"/>
      <c r="HS781" s="133"/>
      <c r="HT781" s="133"/>
      <c r="HU781" s="133"/>
      <c r="HV781" s="133"/>
      <c r="HW781" s="133"/>
      <c r="HX781" s="133"/>
      <c r="HY781" s="133"/>
      <c r="HZ781" s="133"/>
      <c r="IA781" s="133"/>
      <c r="IB781" s="133"/>
      <c r="IC781" s="133"/>
      <c r="ID781" s="133"/>
      <c r="IE781" s="133"/>
      <c r="IF781" s="133"/>
      <c r="IG781" s="133"/>
      <c r="IH781" s="133"/>
      <c r="II781" s="133"/>
      <c r="IJ781" s="133"/>
      <c r="IK781" s="133"/>
      <c r="IL781" s="133"/>
      <c r="IM781" s="133"/>
      <c r="IN781" s="133"/>
      <c r="IO781" s="133"/>
      <c r="IP781" s="133"/>
      <c r="IQ781" s="133"/>
      <c r="IR781" s="133"/>
      <c r="IS781" s="133"/>
      <c r="IT781" s="133"/>
      <c r="IU781" s="133"/>
      <c r="IV781" s="133"/>
    </row>
    <row r="782" spans="1:256" s="132" customFormat="1" ht="13.8">
      <c r="A782" s="133"/>
      <c r="B782" s="133"/>
      <c r="C782" s="133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GE782" s="133"/>
      <c r="GF782" s="133"/>
      <c r="GG782" s="133"/>
      <c r="GH782" s="133"/>
      <c r="GI782" s="133"/>
      <c r="GJ782" s="133"/>
      <c r="GK782" s="133"/>
      <c r="GL782" s="133"/>
      <c r="GM782" s="133"/>
      <c r="GN782" s="133"/>
      <c r="GO782" s="133"/>
      <c r="GP782" s="133"/>
      <c r="GQ782" s="133"/>
      <c r="GR782" s="133"/>
      <c r="GS782" s="133"/>
      <c r="GT782" s="133"/>
      <c r="GU782" s="133"/>
      <c r="GV782" s="133"/>
      <c r="GW782" s="133"/>
      <c r="GX782" s="133"/>
      <c r="GY782" s="133"/>
      <c r="GZ782" s="133"/>
      <c r="HA782" s="133"/>
      <c r="HB782" s="133"/>
      <c r="HC782" s="133"/>
      <c r="HD782" s="133"/>
      <c r="HE782" s="133"/>
      <c r="HF782" s="133"/>
      <c r="HG782" s="133"/>
      <c r="HH782" s="133"/>
      <c r="HI782" s="133"/>
      <c r="HJ782" s="133"/>
      <c r="HK782" s="133"/>
      <c r="HL782" s="133"/>
      <c r="HM782" s="133"/>
      <c r="HN782" s="133"/>
      <c r="HO782" s="133"/>
      <c r="HP782" s="133"/>
      <c r="HQ782" s="133"/>
      <c r="HR782" s="133"/>
      <c r="HS782" s="133"/>
      <c r="HT782" s="133"/>
      <c r="HU782" s="133"/>
      <c r="HV782" s="133"/>
      <c r="HW782" s="133"/>
      <c r="HX782" s="133"/>
      <c r="HY782" s="133"/>
      <c r="HZ782" s="133"/>
      <c r="IA782" s="133"/>
      <c r="IB782" s="133"/>
      <c r="IC782" s="133"/>
      <c r="ID782" s="133"/>
      <c r="IE782" s="133"/>
      <c r="IF782" s="133"/>
      <c r="IG782" s="133"/>
      <c r="IH782" s="133"/>
      <c r="II782" s="133"/>
      <c r="IJ782" s="133"/>
      <c r="IK782" s="133"/>
      <c r="IL782" s="133"/>
      <c r="IM782" s="133"/>
      <c r="IN782" s="133"/>
      <c r="IO782" s="133"/>
      <c r="IP782" s="133"/>
      <c r="IQ782" s="133"/>
      <c r="IR782" s="133"/>
      <c r="IS782" s="133"/>
      <c r="IT782" s="133"/>
      <c r="IU782" s="133"/>
      <c r="IV782" s="133"/>
    </row>
    <row r="783" spans="1:256" s="132" customFormat="1" ht="13.8">
      <c r="A783" s="133"/>
      <c r="B783" s="133"/>
      <c r="C783" s="133"/>
      <c r="D783" s="133"/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GE783" s="133"/>
      <c r="GF783" s="133"/>
      <c r="GG783" s="133"/>
      <c r="GH783" s="133"/>
      <c r="GI783" s="133"/>
      <c r="GJ783" s="133"/>
      <c r="GK783" s="133"/>
      <c r="GL783" s="133"/>
      <c r="GM783" s="133"/>
      <c r="GN783" s="133"/>
      <c r="GO783" s="133"/>
      <c r="GP783" s="133"/>
      <c r="GQ783" s="133"/>
      <c r="GR783" s="133"/>
      <c r="GS783" s="133"/>
      <c r="GT783" s="133"/>
      <c r="GU783" s="133"/>
      <c r="GV783" s="133"/>
      <c r="GW783" s="133"/>
      <c r="GX783" s="133"/>
      <c r="GY783" s="133"/>
      <c r="GZ783" s="133"/>
      <c r="HA783" s="133"/>
      <c r="HB783" s="133"/>
      <c r="HC783" s="133"/>
      <c r="HD783" s="133"/>
      <c r="HE783" s="133"/>
      <c r="HF783" s="133"/>
      <c r="HG783" s="133"/>
      <c r="HH783" s="133"/>
      <c r="HI783" s="133"/>
      <c r="HJ783" s="133"/>
      <c r="HK783" s="133"/>
      <c r="HL783" s="133"/>
      <c r="HM783" s="133"/>
      <c r="HN783" s="133"/>
      <c r="HO783" s="133"/>
      <c r="HP783" s="133"/>
      <c r="HQ783" s="133"/>
      <c r="HR783" s="133"/>
      <c r="HS783" s="133"/>
      <c r="HT783" s="133"/>
      <c r="HU783" s="133"/>
      <c r="HV783" s="133"/>
      <c r="HW783" s="133"/>
      <c r="HX783" s="133"/>
      <c r="HY783" s="133"/>
      <c r="HZ783" s="133"/>
      <c r="IA783" s="133"/>
      <c r="IB783" s="133"/>
      <c r="IC783" s="133"/>
      <c r="ID783" s="133"/>
      <c r="IE783" s="133"/>
      <c r="IF783" s="133"/>
      <c r="IG783" s="133"/>
      <c r="IH783" s="133"/>
      <c r="II783" s="133"/>
      <c r="IJ783" s="133"/>
      <c r="IK783" s="133"/>
      <c r="IL783" s="133"/>
      <c r="IM783" s="133"/>
      <c r="IN783" s="133"/>
      <c r="IO783" s="133"/>
      <c r="IP783" s="133"/>
      <c r="IQ783" s="133"/>
      <c r="IR783" s="133"/>
      <c r="IS783" s="133"/>
      <c r="IT783" s="133"/>
      <c r="IU783" s="133"/>
      <c r="IV783" s="133"/>
    </row>
    <row r="784" spans="1:256" s="132" customFormat="1" ht="13.8">
      <c r="A784" s="133"/>
      <c r="B784" s="133"/>
      <c r="C784" s="133"/>
      <c r="D784" s="133"/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GE784" s="133"/>
      <c r="GF784" s="133"/>
      <c r="GG784" s="133"/>
      <c r="GH784" s="133"/>
      <c r="GI784" s="133"/>
      <c r="GJ784" s="133"/>
      <c r="GK784" s="133"/>
      <c r="GL784" s="133"/>
      <c r="GM784" s="133"/>
      <c r="GN784" s="133"/>
      <c r="GO784" s="133"/>
      <c r="GP784" s="133"/>
      <c r="GQ784" s="133"/>
      <c r="GR784" s="133"/>
      <c r="GS784" s="133"/>
      <c r="GT784" s="133"/>
      <c r="GU784" s="133"/>
      <c r="GV784" s="133"/>
      <c r="GW784" s="133"/>
      <c r="GX784" s="133"/>
      <c r="GY784" s="133"/>
      <c r="GZ784" s="133"/>
      <c r="HA784" s="133"/>
      <c r="HB784" s="133"/>
      <c r="HC784" s="133"/>
      <c r="HD784" s="133"/>
      <c r="HE784" s="133"/>
      <c r="HF784" s="133"/>
      <c r="HG784" s="133"/>
      <c r="HH784" s="133"/>
      <c r="HI784" s="133"/>
      <c r="HJ784" s="133"/>
      <c r="HK784" s="133"/>
      <c r="HL784" s="133"/>
      <c r="HM784" s="133"/>
      <c r="HN784" s="133"/>
      <c r="HO784" s="133"/>
      <c r="HP784" s="133"/>
      <c r="HQ784" s="133"/>
      <c r="HR784" s="133"/>
      <c r="HS784" s="133"/>
      <c r="HT784" s="133"/>
      <c r="HU784" s="133"/>
      <c r="HV784" s="133"/>
      <c r="HW784" s="133"/>
      <c r="HX784" s="133"/>
      <c r="HY784" s="133"/>
      <c r="HZ784" s="133"/>
      <c r="IA784" s="133"/>
      <c r="IB784" s="133"/>
      <c r="IC784" s="133"/>
      <c r="ID784" s="133"/>
      <c r="IE784" s="133"/>
      <c r="IF784" s="133"/>
      <c r="IG784" s="133"/>
      <c r="IH784" s="133"/>
      <c r="II784" s="133"/>
      <c r="IJ784" s="133"/>
      <c r="IK784" s="133"/>
      <c r="IL784" s="133"/>
      <c r="IM784" s="133"/>
      <c r="IN784" s="133"/>
      <c r="IO784" s="133"/>
      <c r="IP784" s="133"/>
      <c r="IQ784" s="133"/>
      <c r="IR784" s="133"/>
      <c r="IS784" s="133"/>
      <c r="IT784" s="133"/>
      <c r="IU784" s="133"/>
      <c r="IV784" s="133"/>
    </row>
    <row r="785" spans="1:256" s="132" customFormat="1" ht="13.8">
      <c r="A785" s="133"/>
      <c r="B785" s="133"/>
      <c r="C785" s="133"/>
      <c r="D785" s="133"/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GE785" s="133"/>
      <c r="GF785" s="133"/>
      <c r="GG785" s="133"/>
      <c r="GH785" s="133"/>
      <c r="GI785" s="133"/>
      <c r="GJ785" s="133"/>
      <c r="GK785" s="133"/>
      <c r="GL785" s="133"/>
      <c r="GM785" s="133"/>
      <c r="GN785" s="133"/>
      <c r="GO785" s="133"/>
      <c r="GP785" s="133"/>
      <c r="GQ785" s="133"/>
      <c r="GR785" s="133"/>
      <c r="GS785" s="133"/>
      <c r="GT785" s="133"/>
      <c r="GU785" s="133"/>
      <c r="GV785" s="133"/>
      <c r="GW785" s="133"/>
      <c r="GX785" s="133"/>
      <c r="GY785" s="133"/>
      <c r="GZ785" s="133"/>
      <c r="HA785" s="133"/>
      <c r="HB785" s="133"/>
      <c r="HC785" s="133"/>
      <c r="HD785" s="133"/>
      <c r="HE785" s="133"/>
      <c r="HF785" s="133"/>
      <c r="HG785" s="133"/>
      <c r="HH785" s="133"/>
      <c r="HI785" s="133"/>
      <c r="HJ785" s="133"/>
      <c r="HK785" s="133"/>
      <c r="HL785" s="133"/>
      <c r="HM785" s="133"/>
      <c r="HN785" s="133"/>
      <c r="HO785" s="133"/>
      <c r="HP785" s="133"/>
      <c r="HQ785" s="133"/>
      <c r="HR785" s="133"/>
      <c r="HS785" s="133"/>
      <c r="HT785" s="133"/>
      <c r="HU785" s="133"/>
      <c r="HV785" s="133"/>
      <c r="HW785" s="133"/>
      <c r="HX785" s="133"/>
      <c r="HY785" s="133"/>
      <c r="HZ785" s="133"/>
      <c r="IA785" s="133"/>
      <c r="IB785" s="133"/>
      <c r="IC785" s="133"/>
      <c r="ID785" s="133"/>
      <c r="IE785" s="133"/>
      <c r="IF785" s="133"/>
      <c r="IG785" s="133"/>
      <c r="IH785" s="133"/>
      <c r="II785" s="133"/>
      <c r="IJ785" s="133"/>
      <c r="IK785" s="133"/>
      <c r="IL785" s="133"/>
      <c r="IM785" s="133"/>
      <c r="IN785" s="133"/>
      <c r="IO785" s="133"/>
      <c r="IP785" s="133"/>
      <c r="IQ785" s="133"/>
      <c r="IR785" s="133"/>
      <c r="IS785" s="133"/>
      <c r="IT785" s="133"/>
      <c r="IU785" s="133"/>
      <c r="IV785" s="133"/>
    </row>
    <row r="786" spans="1:256" s="132" customFormat="1" ht="13.8">
      <c r="A786" s="133"/>
      <c r="B786" s="133"/>
      <c r="C786" s="133"/>
      <c r="D786" s="133"/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GE786" s="133"/>
      <c r="GF786" s="133"/>
      <c r="GG786" s="133"/>
      <c r="GH786" s="133"/>
      <c r="GI786" s="133"/>
      <c r="GJ786" s="133"/>
      <c r="GK786" s="133"/>
      <c r="GL786" s="133"/>
      <c r="GM786" s="133"/>
      <c r="GN786" s="133"/>
      <c r="GO786" s="133"/>
      <c r="GP786" s="133"/>
      <c r="GQ786" s="133"/>
      <c r="GR786" s="133"/>
      <c r="GS786" s="133"/>
      <c r="GT786" s="133"/>
      <c r="GU786" s="133"/>
      <c r="GV786" s="133"/>
      <c r="GW786" s="133"/>
      <c r="GX786" s="133"/>
      <c r="GY786" s="133"/>
      <c r="GZ786" s="133"/>
      <c r="HA786" s="133"/>
      <c r="HB786" s="133"/>
      <c r="HC786" s="133"/>
      <c r="HD786" s="133"/>
      <c r="HE786" s="133"/>
      <c r="HF786" s="133"/>
      <c r="HG786" s="133"/>
      <c r="HH786" s="133"/>
      <c r="HI786" s="133"/>
      <c r="HJ786" s="133"/>
      <c r="HK786" s="133"/>
      <c r="HL786" s="133"/>
      <c r="HM786" s="133"/>
      <c r="HN786" s="133"/>
      <c r="HO786" s="133"/>
      <c r="HP786" s="133"/>
      <c r="HQ786" s="133"/>
      <c r="HR786" s="133"/>
      <c r="HS786" s="133"/>
      <c r="HT786" s="133"/>
      <c r="HU786" s="133"/>
      <c r="HV786" s="133"/>
      <c r="HW786" s="133"/>
      <c r="HX786" s="133"/>
      <c r="HY786" s="133"/>
      <c r="HZ786" s="133"/>
      <c r="IA786" s="133"/>
      <c r="IB786" s="133"/>
      <c r="IC786" s="133"/>
      <c r="ID786" s="133"/>
      <c r="IE786" s="133"/>
      <c r="IF786" s="133"/>
      <c r="IG786" s="133"/>
      <c r="IH786" s="133"/>
      <c r="II786" s="133"/>
      <c r="IJ786" s="133"/>
      <c r="IK786" s="133"/>
      <c r="IL786" s="133"/>
      <c r="IM786" s="133"/>
      <c r="IN786" s="133"/>
      <c r="IO786" s="133"/>
      <c r="IP786" s="133"/>
      <c r="IQ786" s="133"/>
      <c r="IR786" s="133"/>
      <c r="IS786" s="133"/>
      <c r="IT786" s="133"/>
      <c r="IU786" s="133"/>
      <c r="IV786" s="133"/>
    </row>
    <row r="787" spans="1:256" s="132" customFormat="1" ht="13.8">
      <c r="A787" s="133"/>
      <c r="B787" s="133"/>
      <c r="C787" s="133"/>
      <c r="D787" s="133"/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GE787" s="133"/>
      <c r="GF787" s="133"/>
      <c r="GG787" s="133"/>
      <c r="GH787" s="133"/>
      <c r="GI787" s="133"/>
      <c r="GJ787" s="133"/>
      <c r="GK787" s="133"/>
      <c r="GL787" s="133"/>
      <c r="GM787" s="133"/>
      <c r="GN787" s="133"/>
      <c r="GO787" s="133"/>
      <c r="GP787" s="133"/>
      <c r="GQ787" s="133"/>
      <c r="GR787" s="133"/>
      <c r="GS787" s="133"/>
      <c r="GT787" s="133"/>
      <c r="GU787" s="133"/>
      <c r="GV787" s="133"/>
      <c r="GW787" s="133"/>
      <c r="GX787" s="133"/>
      <c r="GY787" s="133"/>
      <c r="GZ787" s="133"/>
      <c r="HA787" s="133"/>
      <c r="HB787" s="133"/>
      <c r="HC787" s="133"/>
      <c r="HD787" s="133"/>
      <c r="HE787" s="133"/>
      <c r="HF787" s="133"/>
      <c r="HG787" s="133"/>
      <c r="HH787" s="133"/>
      <c r="HI787" s="133"/>
      <c r="HJ787" s="133"/>
      <c r="HK787" s="133"/>
      <c r="HL787" s="133"/>
      <c r="HM787" s="133"/>
      <c r="HN787" s="133"/>
      <c r="HO787" s="133"/>
      <c r="HP787" s="133"/>
      <c r="HQ787" s="133"/>
      <c r="HR787" s="133"/>
      <c r="HS787" s="133"/>
      <c r="HT787" s="133"/>
      <c r="HU787" s="133"/>
      <c r="HV787" s="133"/>
      <c r="HW787" s="133"/>
      <c r="HX787" s="133"/>
      <c r="HY787" s="133"/>
      <c r="HZ787" s="133"/>
      <c r="IA787" s="133"/>
      <c r="IB787" s="133"/>
      <c r="IC787" s="133"/>
      <c r="ID787" s="133"/>
      <c r="IE787" s="133"/>
      <c r="IF787" s="133"/>
      <c r="IG787" s="133"/>
      <c r="IH787" s="133"/>
      <c r="II787" s="133"/>
      <c r="IJ787" s="133"/>
      <c r="IK787" s="133"/>
      <c r="IL787" s="133"/>
      <c r="IM787" s="133"/>
      <c r="IN787" s="133"/>
      <c r="IO787" s="133"/>
      <c r="IP787" s="133"/>
      <c r="IQ787" s="133"/>
      <c r="IR787" s="133"/>
      <c r="IS787" s="133"/>
      <c r="IT787" s="133"/>
      <c r="IU787" s="133"/>
      <c r="IV787" s="133"/>
    </row>
    <row r="788" spans="1:256" s="132" customFormat="1" ht="13.8">
      <c r="A788" s="133"/>
      <c r="B788" s="133"/>
      <c r="C788" s="133"/>
      <c r="D788" s="133"/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GE788" s="133"/>
      <c r="GF788" s="133"/>
      <c r="GG788" s="133"/>
      <c r="GH788" s="133"/>
      <c r="GI788" s="133"/>
      <c r="GJ788" s="133"/>
      <c r="GK788" s="133"/>
      <c r="GL788" s="133"/>
      <c r="GM788" s="133"/>
      <c r="GN788" s="133"/>
      <c r="GO788" s="133"/>
      <c r="GP788" s="133"/>
      <c r="GQ788" s="133"/>
      <c r="GR788" s="133"/>
      <c r="GS788" s="133"/>
      <c r="GT788" s="133"/>
      <c r="GU788" s="133"/>
      <c r="GV788" s="133"/>
      <c r="GW788" s="133"/>
      <c r="GX788" s="133"/>
      <c r="GY788" s="133"/>
      <c r="GZ788" s="133"/>
      <c r="HA788" s="133"/>
      <c r="HB788" s="133"/>
      <c r="HC788" s="133"/>
      <c r="HD788" s="133"/>
      <c r="HE788" s="133"/>
      <c r="HF788" s="133"/>
      <c r="HG788" s="133"/>
      <c r="HH788" s="133"/>
      <c r="HI788" s="133"/>
      <c r="HJ788" s="133"/>
      <c r="HK788" s="133"/>
      <c r="HL788" s="133"/>
      <c r="HM788" s="133"/>
      <c r="HN788" s="133"/>
      <c r="HO788" s="133"/>
      <c r="HP788" s="133"/>
      <c r="HQ788" s="133"/>
      <c r="HR788" s="133"/>
      <c r="HS788" s="133"/>
      <c r="HT788" s="133"/>
      <c r="HU788" s="133"/>
      <c r="HV788" s="133"/>
      <c r="HW788" s="133"/>
      <c r="HX788" s="133"/>
      <c r="HY788" s="133"/>
      <c r="HZ788" s="133"/>
      <c r="IA788" s="133"/>
      <c r="IB788" s="133"/>
      <c r="IC788" s="133"/>
      <c r="ID788" s="133"/>
      <c r="IE788" s="133"/>
      <c r="IF788" s="133"/>
      <c r="IG788" s="133"/>
      <c r="IH788" s="133"/>
      <c r="II788" s="133"/>
      <c r="IJ788" s="133"/>
      <c r="IK788" s="133"/>
      <c r="IL788" s="133"/>
      <c r="IM788" s="133"/>
      <c r="IN788" s="133"/>
      <c r="IO788" s="133"/>
      <c r="IP788" s="133"/>
      <c r="IQ788" s="133"/>
      <c r="IR788" s="133"/>
      <c r="IS788" s="133"/>
      <c r="IT788" s="133"/>
      <c r="IU788" s="133"/>
      <c r="IV788" s="133"/>
    </row>
    <row r="789" spans="1:256" s="132" customFormat="1" ht="13.8">
      <c r="A789" s="133"/>
      <c r="B789" s="133"/>
      <c r="C789" s="133"/>
      <c r="D789" s="133"/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GE789" s="133"/>
      <c r="GF789" s="133"/>
      <c r="GG789" s="133"/>
      <c r="GH789" s="133"/>
      <c r="GI789" s="133"/>
      <c r="GJ789" s="133"/>
      <c r="GK789" s="133"/>
      <c r="GL789" s="133"/>
      <c r="GM789" s="133"/>
      <c r="GN789" s="133"/>
      <c r="GO789" s="133"/>
      <c r="GP789" s="133"/>
      <c r="GQ789" s="133"/>
      <c r="GR789" s="133"/>
      <c r="GS789" s="133"/>
      <c r="GT789" s="133"/>
      <c r="GU789" s="133"/>
      <c r="GV789" s="133"/>
      <c r="GW789" s="133"/>
      <c r="GX789" s="133"/>
      <c r="GY789" s="133"/>
      <c r="GZ789" s="133"/>
      <c r="HA789" s="133"/>
      <c r="HB789" s="133"/>
      <c r="HC789" s="133"/>
      <c r="HD789" s="133"/>
      <c r="HE789" s="133"/>
      <c r="HF789" s="133"/>
      <c r="HG789" s="133"/>
      <c r="HH789" s="133"/>
      <c r="HI789" s="133"/>
      <c r="HJ789" s="133"/>
      <c r="HK789" s="133"/>
      <c r="HL789" s="133"/>
      <c r="HM789" s="133"/>
      <c r="HN789" s="133"/>
      <c r="HO789" s="133"/>
      <c r="HP789" s="133"/>
      <c r="HQ789" s="133"/>
      <c r="HR789" s="133"/>
      <c r="HS789" s="133"/>
      <c r="HT789" s="133"/>
      <c r="HU789" s="133"/>
      <c r="HV789" s="133"/>
      <c r="HW789" s="133"/>
      <c r="HX789" s="133"/>
      <c r="HY789" s="133"/>
      <c r="HZ789" s="133"/>
      <c r="IA789" s="133"/>
      <c r="IB789" s="133"/>
      <c r="IC789" s="133"/>
      <c r="ID789" s="133"/>
      <c r="IE789" s="133"/>
      <c r="IF789" s="133"/>
      <c r="IG789" s="133"/>
      <c r="IH789" s="133"/>
      <c r="II789" s="133"/>
      <c r="IJ789" s="133"/>
      <c r="IK789" s="133"/>
      <c r="IL789" s="133"/>
      <c r="IM789" s="133"/>
      <c r="IN789" s="133"/>
      <c r="IO789" s="133"/>
      <c r="IP789" s="133"/>
      <c r="IQ789" s="133"/>
      <c r="IR789" s="133"/>
      <c r="IS789" s="133"/>
      <c r="IT789" s="133"/>
      <c r="IU789" s="133"/>
      <c r="IV789" s="133"/>
    </row>
    <row r="790" spans="1:256" s="132" customFormat="1" ht="13.8">
      <c r="A790" s="133"/>
      <c r="B790" s="133"/>
      <c r="C790" s="133"/>
      <c r="D790" s="133"/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GE790" s="133"/>
      <c r="GF790" s="133"/>
      <c r="GG790" s="133"/>
      <c r="GH790" s="133"/>
      <c r="GI790" s="133"/>
      <c r="GJ790" s="133"/>
      <c r="GK790" s="133"/>
      <c r="GL790" s="133"/>
      <c r="GM790" s="133"/>
      <c r="GN790" s="133"/>
      <c r="GO790" s="133"/>
      <c r="GP790" s="133"/>
      <c r="GQ790" s="133"/>
      <c r="GR790" s="133"/>
      <c r="GS790" s="133"/>
      <c r="GT790" s="133"/>
      <c r="GU790" s="133"/>
      <c r="GV790" s="133"/>
      <c r="GW790" s="133"/>
      <c r="GX790" s="133"/>
      <c r="GY790" s="133"/>
      <c r="GZ790" s="133"/>
      <c r="HA790" s="133"/>
      <c r="HB790" s="133"/>
      <c r="HC790" s="133"/>
      <c r="HD790" s="133"/>
      <c r="HE790" s="133"/>
      <c r="HF790" s="133"/>
      <c r="HG790" s="133"/>
      <c r="HH790" s="133"/>
      <c r="HI790" s="133"/>
      <c r="HJ790" s="133"/>
      <c r="HK790" s="133"/>
      <c r="HL790" s="133"/>
      <c r="HM790" s="133"/>
      <c r="HN790" s="133"/>
      <c r="HO790" s="133"/>
      <c r="HP790" s="133"/>
      <c r="HQ790" s="133"/>
      <c r="HR790" s="133"/>
      <c r="HS790" s="133"/>
      <c r="HT790" s="133"/>
      <c r="HU790" s="133"/>
      <c r="HV790" s="133"/>
      <c r="HW790" s="133"/>
      <c r="HX790" s="133"/>
      <c r="HY790" s="133"/>
      <c r="HZ790" s="133"/>
      <c r="IA790" s="133"/>
      <c r="IB790" s="133"/>
      <c r="IC790" s="133"/>
      <c r="ID790" s="133"/>
      <c r="IE790" s="133"/>
      <c r="IF790" s="133"/>
      <c r="IG790" s="133"/>
      <c r="IH790" s="133"/>
      <c r="II790" s="133"/>
      <c r="IJ790" s="133"/>
      <c r="IK790" s="133"/>
      <c r="IL790" s="133"/>
      <c r="IM790" s="133"/>
      <c r="IN790" s="133"/>
      <c r="IO790" s="133"/>
      <c r="IP790" s="133"/>
      <c r="IQ790" s="133"/>
      <c r="IR790" s="133"/>
      <c r="IS790" s="133"/>
      <c r="IT790" s="133"/>
      <c r="IU790" s="133"/>
      <c r="IV790" s="133"/>
    </row>
    <row r="791" spans="1:256" s="132" customFormat="1" ht="13.8">
      <c r="A791" s="133"/>
      <c r="B791" s="133"/>
      <c r="C791" s="133"/>
      <c r="D791" s="133"/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GE791" s="133"/>
      <c r="GF791" s="133"/>
      <c r="GG791" s="133"/>
      <c r="GH791" s="133"/>
      <c r="GI791" s="133"/>
      <c r="GJ791" s="133"/>
      <c r="GK791" s="133"/>
      <c r="GL791" s="133"/>
      <c r="GM791" s="133"/>
      <c r="GN791" s="133"/>
      <c r="GO791" s="133"/>
      <c r="GP791" s="133"/>
      <c r="GQ791" s="133"/>
      <c r="GR791" s="133"/>
      <c r="GS791" s="133"/>
      <c r="GT791" s="133"/>
      <c r="GU791" s="133"/>
      <c r="GV791" s="133"/>
      <c r="GW791" s="133"/>
      <c r="GX791" s="133"/>
      <c r="GY791" s="133"/>
      <c r="GZ791" s="133"/>
      <c r="HA791" s="133"/>
      <c r="HB791" s="133"/>
      <c r="HC791" s="133"/>
      <c r="HD791" s="133"/>
      <c r="HE791" s="133"/>
      <c r="HF791" s="133"/>
      <c r="HG791" s="133"/>
      <c r="HH791" s="133"/>
      <c r="HI791" s="133"/>
      <c r="HJ791" s="133"/>
      <c r="HK791" s="133"/>
      <c r="HL791" s="133"/>
      <c r="HM791" s="133"/>
      <c r="HN791" s="133"/>
      <c r="HO791" s="133"/>
      <c r="HP791" s="133"/>
      <c r="HQ791" s="133"/>
      <c r="HR791" s="133"/>
      <c r="HS791" s="133"/>
      <c r="HT791" s="133"/>
      <c r="HU791" s="133"/>
      <c r="HV791" s="133"/>
      <c r="HW791" s="133"/>
      <c r="HX791" s="133"/>
      <c r="HY791" s="133"/>
      <c r="HZ791" s="133"/>
      <c r="IA791" s="133"/>
      <c r="IB791" s="133"/>
      <c r="IC791" s="133"/>
      <c r="ID791" s="133"/>
      <c r="IE791" s="133"/>
      <c r="IF791" s="133"/>
      <c r="IG791" s="133"/>
      <c r="IH791" s="133"/>
      <c r="II791" s="133"/>
      <c r="IJ791" s="133"/>
      <c r="IK791" s="133"/>
      <c r="IL791" s="133"/>
      <c r="IM791" s="133"/>
      <c r="IN791" s="133"/>
      <c r="IO791" s="133"/>
      <c r="IP791" s="133"/>
      <c r="IQ791" s="133"/>
      <c r="IR791" s="133"/>
      <c r="IS791" s="133"/>
      <c r="IT791" s="133"/>
      <c r="IU791" s="133"/>
      <c r="IV791" s="133"/>
    </row>
    <row r="792" spans="1:256" s="132" customFormat="1" ht="13.8">
      <c r="A792" s="133"/>
      <c r="B792" s="133"/>
      <c r="C792" s="133"/>
      <c r="D792" s="133"/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GE792" s="133"/>
      <c r="GF792" s="133"/>
      <c r="GG792" s="133"/>
      <c r="GH792" s="133"/>
      <c r="GI792" s="133"/>
      <c r="GJ792" s="133"/>
      <c r="GK792" s="133"/>
      <c r="GL792" s="133"/>
      <c r="GM792" s="133"/>
      <c r="GN792" s="133"/>
      <c r="GO792" s="133"/>
      <c r="GP792" s="133"/>
      <c r="GQ792" s="133"/>
      <c r="GR792" s="133"/>
      <c r="GS792" s="133"/>
      <c r="GT792" s="133"/>
      <c r="GU792" s="133"/>
      <c r="GV792" s="133"/>
      <c r="GW792" s="133"/>
      <c r="GX792" s="133"/>
      <c r="GY792" s="133"/>
      <c r="GZ792" s="133"/>
      <c r="HA792" s="133"/>
      <c r="HB792" s="133"/>
      <c r="HC792" s="133"/>
      <c r="HD792" s="133"/>
      <c r="HE792" s="133"/>
      <c r="HF792" s="133"/>
      <c r="HG792" s="133"/>
      <c r="HH792" s="133"/>
      <c r="HI792" s="133"/>
      <c r="HJ792" s="133"/>
      <c r="HK792" s="133"/>
      <c r="HL792" s="133"/>
      <c r="HM792" s="133"/>
      <c r="HN792" s="133"/>
      <c r="HO792" s="133"/>
      <c r="HP792" s="133"/>
      <c r="HQ792" s="133"/>
      <c r="HR792" s="133"/>
      <c r="HS792" s="133"/>
      <c r="HT792" s="133"/>
      <c r="HU792" s="133"/>
      <c r="HV792" s="133"/>
      <c r="HW792" s="133"/>
      <c r="HX792" s="133"/>
      <c r="HY792" s="133"/>
      <c r="HZ792" s="133"/>
      <c r="IA792" s="133"/>
      <c r="IB792" s="133"/>
      <c r="IC792" s="133"/>
      <c r="ID792" s="133"/>
      <c r="IE792" s="133"/>
      <c r="IF792" s="133"/>
      <c r="IG792" s="133"/>
      <c r="IH792" s="133"/>
      <c r="II792" s="133"/>
      <c r="IJ792" s="133"/>
      <c r="IK792" s="133"/>
      <c r="IL792" s="133"/>
      <c r="IM792" s="133"/>
      <c r="IN792" s="133"/>
      <c r="IO792" s="133"/>
      <c r="IP792" s="133"/>
      <c r="IQ792" s="133"/>
      <c r="IR792" s="133"/>
      <c r="IS792" s="133"/>
      <c r="IT792" s="133"/>
      <c r="IU792" s="133"/>
      <c r="IV792" s="133"/>
    </row>
    <row r="793" spans="1:256" s="132" customFormat="1" ht="13.8">
      <c r="A793" s="133"/>
      <c r="B793" s="133"/>
      <c r="C793" s="133"/>
      <c r="D793" s="133"/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GE793" s="133"/>
      <c r="GF793" s="133"/>
      <c r="GG793" s="133"/>
      <c r="GH793" s="133"/>
      <c r="GI793" s="133"/>
      <c r="GJ793" s="133"/>
      <c r="GK793" s="133"/>
      <c r="GL793" s="133"/>
      <c r="GM793" s="133"/>
      <c r="GN793" s="133"/>
      <c r="GO793" s="133"/>
      <c r="GP793" s="133"/>
      <c r="GQ793" s="133"/>
      <c r="GR793" s="133"/>
      <c r="GS793" s="133"/>
      <c r="GT793" s="133"/>
      <c r="GU793" s="133"/>
      <c r="GV793" s="133"/>
      <c r="GW793" s="133"/>
      <c r="GX793" s="133"/>
      <c r="GY793" s="133"/>
      <c r="GZ793" s="133"/>
      <c r="HA793" s="133"/>
      <c r="HB793" s="133"/>
      <c r="HC793" s="133"/>
      <c r="HD793" s="133"/>
      <c r="HE793" s="133"/>
      <c r="HF793" s="133"/>
      <c r="HG793" s="133"/>
      <c r="HH793" s="133"/>
      <c r="HI793" s="133"/>
      <c r="HJ793" s="133"/>
      <c r="HK793" s="133"/>
      <c r="HL793" s="133"/>
      <c r="HM793" s="133"/>
      <c r="HN793" s="133"/>
      <c r="HO793" s="133"/>
      <c r="HP793" s="133"/>
      <c r="HQ793" s="133"/>
      <c r="HR793" s="133"/>
      <c r="HS793" s="133"/>
      <c r="HT793" s="133"/>
      <c r="HU793" s="133"/>
      <c r="HV793" s="133"/>
      <c r="HW793" s="133"/>
      <c r="HX793" s="133"/>
      <c r="HY793" s="133"/>
      <c r="HZ793" s="133"/>
      <c r="IA793" s="133"/>
      <c r="IB793" s="133"/>
      <c r="IC793" s="133"/>
      <c r="ID793" s="133"/>
      <c r="IE793" s="133"/>
      <c r="IF793" s="133"/>
      <c r="IG793" s="133"/>
      <c r="IH793" s="133"/>
      <c r="II793" s="133"/>
      <c r="IJ793" s="133"/>
      <c r="IK793" s="133"/>
      <c r="IL793" s="133"/>
      <c r="IM793" s="133"/>
      <c r="IN793" s="133"/>
      <c r="IO793" s="133"/>
      <c r="IP793" s="133"/>
      <c r="IQ793" s="133"/>
      <c r="IR793" s="133"/>
      <c r="IS793" s="133"/>
      <c r="IT793" s="133"/>
      <c r="IU793" s="133"/>
      <c r="IV793" s="133"/>
    </row>
    <row r="794" spans="1:256" s="132" customFormat="1" ht="13.8">
      <c r="A794" s="133"/>
      <c r="B794" s="133"/>
      <c r="C794" s="133"/>
      <c r="D794" s="133"/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GE794" s="133"/>
      <c r="GF794" s="133"/>
      <c r="GG794" s="133"/>
      <c r="GH794" s="133"/>
      <c r="GI794" s="133"/>
      <c r="GJ794" s="133"/>
      <c r="GK794" s="133"/>
      <c r="GL794" s="133"/>
      <c r="GM794" s="133"/>
      <c r="GN794" s="133"/>
      <c r="GO794" s="133"/>
      <c r="GP794" s="133"/>
      <c r="GQ794" s="133"/>
      <c r="GR794" s="133"/>
      <c r="GS794" s="133"/>
      <c r="GT794" s="133"/>
      <c r="GU794" s="133"/>
      <c r="GV794" s="133"/>
      <c r="GW794" s="133"/>
      <c r="GX794" s="133"/>
      <c r="GY794" s="133"/>
      <c r="GZ794" s="133"/>
      <c r="HA794" s="133"/>
      <c r="HB794" s="133"/>
      <c r="HC794" s="133"/>
      <c r="HD794" s="133"/>
      <c r="HE794" s="133"/>
      <c r="HF794" s="133"/>
      <c r="HG794" s="133"/>
      <c r="HH794" s="133"/>
      <c r="HI794" s="133"/>
      <c r="HJ794" s="133"/>
      <c r="HK794" s="133"/>
      <c r="HL794" s="133"/>
      <c r="HM794" s="133"/>
      <c r="HN794" s="133"/>
      <c r="HO794" s="133"/>
      <c r="HP794" s="133"/>
      <c r="HQ794" s="133"/>
      <c r="HR794" s="133"/>
      <c r="HS794" s="133"/>
      <c r="HT794" s="133"/>
      <c r="HU794" s="133"/>
      <c r="HV794" s="133"/>
      <c r="HW794" s="133"/>
      <c r="HX794" s="133"/>
      <c r="HY794" s="133"/>
      <c r="HZ794" s="133"/>
      <c r="IA794" s="133"/>
      <c r="IB794" s="133"/>
      <c r="IC794" s="133"/>
      <c r="ID794" s="133"/>
      <c r="IE794" s="133"/>
      <c r="IF794" s="133"/>
      <c r="IG794" s="133"/>
      <c r="IH794" s="133"/>
      <c r="II794" s="133"/>
      <c r="IJ794" s="133"/>
      <c r="IK794" s="133"/>
      <c r="IL794" s="133"/>
      <c r="IM794" s="133"/>
      <c r="IN794" s="133"/>
      <c r="IO794" s="133"/>
      <c r="IP794" s="133"/>
      <c r="IQ794" s="133"/>
      <c r="IR794" s="133"/>
      <c r="IS794" s="133"/>
      <c r="IT794" s="133"/>
      <c r="IU794" s="133"/>
      <c r="IV794" s="133"/>
    </row>
    <row r="795" spans="1:256" s="132" customFormat="1" ht="13.8">
      <c r="A795" s="133"/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GE795" s="133"/>
      <c r="GF795" s="133"/>
      <c r="GG795" s="133"/>
      <c r="GH795" s="133"/>
      <c r="GI795" s="133"/>
      <c r="GJ795" s="133"/>
      <c r="GK795" s="133"/>
      <c r="GL795" s="133"/>
      <c r="GM795" s="133"/>
      <c r="GN795" s="133"/>
      <c r="GO795" s="133"/>
      <c r="GP795" s="133"/>
      <c r="GQ795" s="133"/>
      <c r="GR795" s="133"/>
      <c r="GS795" s="133"/>
      <c r="GT795" s="133"/>
      <c r="GU795" s="133"/>
      <c r="GV795" s="133"/>
      <c r="GW795" s="133"/>
      <c r="GX795" s="133"/>
      <c r="GY795" s="133"/>
      <c r="GZ795" s="133"/>
      <c r="HA795" s="133"/>
      <c r="HB795" s="133"/>
      <c r="HC795" s="133"/>
      <c r="HD795" s="133"/>
      <c r="HE795" s="133"/>
      <c r="HF795" s="133"/>
      <c r="HG795" s="133"/>
      <c r="HH795" s="133"/>
      <c r="HI795" s="133"/>
      <c r="HJ795" s="133"/>
      <c r="HK795" s="133"/>
      <c r="HL795" s="133"/>
      <c r="HM795" s="133"/>
      <c r="HN795" s="133"/>
      <c r="HO795" s="133"/>
      <c r="HP795" s="133"/>
      <c r="HQ795" s="133"/>
      <c r="HR795" s="133"/>
      <c r="HS795" s="133"/>
      <c r="HT795" s="133"/>
      <c r="HU795" s="133"/>
      <c r="HV795" s="133"/>
      <c r="HW795" s="133"/>
      <c r="HX795" s="133"/>
      <c r="HY795" s="133"/>
      <c r="HZ795" s="133"/>
      <c r="IA795" s="133"/>
      <c r="IB795" s="133"/>
      <c r="IC795" s="133"/>
      <c r="ID795" s="133"/>
      <c r="IE795" s="133"/>
      <c r="IF795" s="133"/>
      <c r="IG795" s="133"/>
      <c r="IH795" s="133"/>
      <c r="II795" s="133"/>
      <c r="IJ795" s="133"/>
      <c r="IK795" s="133"/>
      <c r="IL795" s="133"/>
      <c r="IM795" s="133"/>
      <c r="IN795" s="133"/>
      <c r="IO795" s="133"/>
      <c r="IP795" s="133"/>
      <c r="IQ795" s="133"/>
      <c r="IR795" s="133"/>
      <c r="IS795" s="133"/>
      <c r="IT795" s="133"/>
      <c r="IU795" s="133"/>
      <c r="IV795" s="133"/>
    </row>
    <row r="796" spans="1:256" s="132" customFormat="1" ht="13.8">
      <c r="A796" s="133"/>
      <c r="B796" s="133"/>
      <c r="C796" s="133"/>
      <c r="D796" s="133"/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GE796" s="133"/>
      <c r="GF796" s="133"/>
      <c r="GG796" s="133"/>
      <c r="GH796" s="133"/>
      <c r="GI796" s="133"/>
      <c r="GJ796" s="133"/>
      <c r="GK796" s="133"/>
      <c r="GL796" s="133"/>
      <c r="GM796" s="133"/>
      <c r="GN796" s="133"/>
      <c r="GO796" s="133"/>
      <c r="GP796" s="133"/>
      <c r="GQ796" s="133"/>
      <c r="GR796" s="133"/>
      <c r="GS796" s="133"/>
      <c r="GT796" s="133"/>
      <c r="GU796" s="133"/>
      <c r="GV796" s="133"/>
      <c r="GW796" s="133"/>
      <c r="GX796" s="133"/>
      <c r="GY796" s="133"/>
      <c r="GZ796" s="133"/>
      <c r="HA796" s="133"/>
      <c r="HB796" s="133"/>
      <c r="HC796" s="133"/>
      <c r="HD796" s="133"/>
      <c r="HE796" s="133"/>
      <c r="HF796" s="133"/>
      <c r="HG796" s="133"/>
      <c r="HH796" s="133"/>
      <c r="HI796" s="133"/>
      <c r="HJ796" s="133"/>
      <c r="HK796" s="133"/>
      <c r="HL796" s="133"/>
      <c r="HM796" s="133"/>
      <c r="HN796" s="133"/>
      <c r="HO796" s="133"/>
      <c r="HP796" s="133"/>
      <c r="HQ796" s="133"/>
      <c r="HR796" s="133"/>
      <c r="HS796" s="133"/>
      <c r="HT796" s="133"/>
      <c r="HU796" s="133"/>
      <c r="HV796" s="133"/>
      <c r="HW796" s="133"/>
      <c r="HX796" s="133"/>
      <c r="HY796" s="133"/>
      <c r="HZ796" s="133"/>
      <c r="IA796" s="133"/>
      <c r="IB796" s="133"/>
      <c r="IC796" s="133"/>
      <c r="ID796" s="133"/>
      <c r="IE796" s="133"/>
      <c r="IF796" s="133"/>
      <c r="IG796" s="133"/>
      <c r="IH796" s="133"/>
      <c r="II796" s="133"/>
      <c r="IJ796" s="133"/>
      <c r="IK796" s="133"/>
      <c r="IL796" s="133"/>
      <c r="IM796" s="133"/>
      <c r="IN796" s="133"/>
      <c r="IO796" s="133"/>
      <c r="IP796" s="133"/>
      <c r="IQ796" s="133"/>
      <c r="IR796" s="133"/>
      <c r="IS796" s="133"/>
      <c r="IT796" s="133"/>
      <c r="IU796" s="133"/>
      <c r="IV796" s="133"/>
    </row>
    <row r="797" spans="1:256" s="132" customFormat="1" ht="13.8">
      <c r="A797" s="133"/>
      <c r="B797" s="133"/>
      <c r="C797" s="133"/>
      <c r="D797" s="133"/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GE797" s="133"/>
      <c r="GF797" s="133"/>
      <c r="GG797" s="133"/>
      <c r="GH797" s="133"/>
      <c r="GI797" s="133"/>
      <c r="GJ797" s="133"/>
      <c r="GK797" s="133"/>
      <c r="GL797" s="133"/>
      <c r="GM797" s="133"/>
      <c r="GN797" s="133"/>
      <c r="GO797" s="133"/>
      <c r="GP797" s="133"/>
      <c r="GQ797" s="133"/>
      <c r="GR797" s="133"/>
      <c r="GS797" s="133"/>
      <c r="GT797" s="133"/>
      <c r="GU797" s="133"/>
      <c r="GV797" s="133"/>
      <c r="GW797" s="133"/>
      <c r="GX797" s="133"/>
      <c r="GY797" s="133"/>
      <c r="GZ797" s="133"/>
      <c r="HA797" s="133"/>
      <c r="HB797" s="133"/>
      <c r="HC797" s="133"/>
      <c r="HD797" s="133"/>
      <c r="HE797" s="133"/>
      <c r="HF797" s="133"/>
      <c r="HG797" s="133"/>
      <c r="HH797" s="133"/>
      <c r="HI797" s="133"/>
      <c r="HJ797" s="133"/>
      <c r="HK797" s="133"/>
      <c r="HL797" s="133"/>
      <c r="HM797" s="133"/>
      <c r="HN797" s="133"/>
      <c r="HO797" s="133"/>
      <c r="HP797" s="133"/>
      <c r="HQ797" s="133"/>
      <c r="HR797" s="133"/>
      <c r="HS797" s="133"/>
      <c r="HT797" s="133"/>
      <c r="HU797" s="133"/>
      <c r="HV797" s="133"/>
      <c r="HW797" s="133"/>
      <c r="HX797" s="133"/>
      <c r="HY797" s="133"/>
      <c r="HZ797" s="133"/>
      <c r="IA797" s="133"/>
      <c r="IB797" s="133"/>
      <c r="IC797" s="133"/>
      <c r="ID797" s="133"/>
      <c r="IE797" s="133"/>
      <c r="IF797" s="133"/>
      <c r="IG797" s="133"/>
      <c r="IH797" s="133"/>
      <c r="II797" s="133"/>
      <c r="IJ797" s="133"/>
      <c r="IK797" s="133"/>
      <c r="IL797" s="133"/>
      <c r="IM797" s="133"/>
      <c r="IN797" s="133"/>
      <c r="IO797" s="133"/>
      <c r="IP797" s="133"/>
      <c r="IQ797" s="133"/>
      <c r="IR797" s="133"/>
      <c r="IS797" s="133"/>
      <c r="IT797" s="133"/>
      <c r="IU797" s="133"/>
      <c r="IV797" s="133"/>
    </row>
    <row r="798" spans="1:256" s="132" customFormat="1" ht="13.8">
      <c r="A798" s="133"/>
      <c r="B798" s="133"/>
      <c r="C798" s="133"/>
      <c r="D798" s="133"/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GE798" s="133"/>
      <c r="GF798" s="133"/>
      <c r="GG798" s="133"/>
      <c r="GH798" s="133"/>
      <c r="GI798" s="133"/>
      <c r="GJ798" s="133"/>
      <c r="GK798" s="133"/>
      <c r="GL798" s="133"/>
      <c r="GM798" s="133"/>
      <c r="GN798" s="133"/>
      <c r="GO798" s="133"/>
      <c r="GP798" s="133"/>
      <c r="GQ798" s="133"/>
      <c r="GR798" s="133"/>
      <c r="GS798" s="133"/>
      <c r="GT798" s="133"/>
      <c r="GU798" s="133"/>
      <c r="GV798" s="133"/>
      <c r="GW798" s="133"/>
      <c r="GX798" s="133"/>
      <c r="GY798" s="133"/>
      <c r="GZ798" s="133"/>
      <c r="HA798" s="133"/>
      <c r="HB798" s="133"/>
      <c r="HC798" s="133"/>
      <c r="HD798" s="133"/>
      <c r="HE798" s="133"/>
      <c r="HF798" s="133"/>
      <c r="HG798" s="133"/>
      <c r="HH798" s="133"/>
      <c r="HI798" s="133"/>
      <c r="HJ798" s="133"/>
      <c r="HK798" s="133"/>
      <c r="HL798" s="133"/>
      <c r="HM798" s="133"/>
      <c r="HN798" s="133"/>
      <c r="HO798" s="133"/>
      <c r="HP798" s="133"/>
      <c r="HQ798" s="133"/>
      <c r="HR798" s="133"/>
      <c r="HS798" s="133"/>
      <c r="HT798" s="133"/>
      <c r="HU798" s="133"/>
      <c r="HV798" s="133"/>
      <c r="HW798" s="133"/>
      <c r="HX798" s="133"/>
      <c r="HY798" s="133"/>
      <c r="HZ798" s="133"/>
      <c r="IA798" s="133"/>
      <c r="IB798" s="133"/>
      <c r="IC798" s="133"/>
      <c r="ID798" s="133"/>
      <c r="IE798" s="133"/>
      <c r="IF798" s="133"/>
      <c r="IG798" s="133"/>
      <c r="IH798" s="133"/>
      <c r="II798" s="133"/>
      <c r="IJ798" s="133"/>
      <c r="IK798" s="133"/>
      <c r="IL798" s="133"/>
      <c r="IM798" s="133"/>
      <c r="IN798" s="133"/>
      <c r="IO798" s="133"/>
      <c r="IP798" s="133"/>
      <c r="IQ798" s="133"/>
      <c r="IR798" s="133"/>
      <c r="IS798" s="133"/>
      <c r="IT798" s="133"/>
      <c r="IU798" s="133"/>
      <c r="IV798" s="133"/>
    </row>
    <row r="799" spans="1:256" s="132" customFormat="1" ht="13.8">
      <c r="A799" s="133"/>
      <c r="B799" s="133"/>
      <c r="C799" s="133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GE799" s="133"/>
      <c r="GF799" s="133"/>
      <c r="GG799" s="133"/>
      <c r="GH799" s="133"/>
      <c r="GI799" s="133"/>
      <c r="GJ799" s="133"/>
      <c r="GK799" s="133"/>
      <c r="GL799" s="133"/>
      <c r="GM799" s="133"/>
      <c r="GN799" s="133"/>
      <c r="GO799" s="133"/>
      <c r="GP799" s="133"/>
      <c r="GQ799" s="133"/>
      <c r="GR799" s="133"/>
      <c r="GS799" s="133"/>
      <c r="GT799" s="133"/>
      <c r="GU799" s="133"/>
      <c r="GV799" s="133"/>
      <c r="GW799" s="133"/>
      <c r="GX799" s="133"/>
      <c r="GY799" s="133"/>
      <c r="GZ799" s="133"/>
      <c r="HA799" s="133"/>
      <c r="HB799" s="133"/>
      <c r="HC799" s="133"/>
      <c r="HD799" s="133"/>
      <c r="HE799" s="133"/>
      <c r="HF799" s="133"/>
      <c r="HG799" s="133"/>
      <c r="HH799" s="133"/>
      <c r="HI799" s="133"/>
      <c r="HJ799" s="133"/>
      <c r="HK799" s="133"/>
      <c r="HL799" s="133"/>
      <c r="HM799" s="133"/>
      <c r="HN799" s="133"/>
      <c r="HO799" s="133"/>
      <c r="HP799" s="133"/>
      <c r="HQ799" s="133"/>
      <c r="HR799" s="133"/>
      <c r="HS799" s="133"/>
      <c r="HT799" s="133"/>
      <c r="HU799" s="133"/>
      <c r="HV799" s="133"/>
      <c r="HW799" s="133"/>
      <c r="HX799" s="133"/>
      <c r="HY799" s="133"/>
      <c r="HZ799" s="133"/>
      <c r="IA799" s="133"/>
      <c r="IB799" s="133"/>
      <c r="IC799" s="133"/>
      <c r="ID799" s="133"/>
      <c r="IE799" s="133"/>
      <c r="IF799" s="133"/>
      <c r="IG799" s="133"/>
      <c r="IH799" s="133"/>
      <c r="II799" s="133"/>
      <c r="IJ799" s="133"/>
      <c r="IK799" s="133"/>
      <c r="IL799" s="133"/>
      <c r="IM799" s="133"/>
      <c r="IN799" s="133"/>
      <c r="IO799" s="133"/>
      <c r="IP799" s="133"/>
      <c r="IQ799" s="133"/>
      <c r="IR799" s="133"/>
      <c r="IS799" s="133"/>
      <c r="IT799" s="133"/>
      <c r="IU799" s="133"/>
      <c r="IV799" s="133"/>
    </row>
    <row r="800" spans="1:256" s="132" customFormat="1" ht="13.8">
      <c r="A800" s="133"/>
      <c r="B800" s="133"/>
      <c r="C800" s="133"/>
      <c r="D800" s="133"/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GE800" s="133"/>
      <c r="GF800" s="133"/>
      <c r="GG800" s="133"/>
      <c r="GH800" s="133"/>
      <c r="GI800" s="133"/>
      <c r="GJ800" s="133"/>
      <c r="GK800" s="133"/>
      <c r="GL800" s="133"/>
      <c r="GM800" s="133"/>
      <c r="GN800" s="133"/>
      <c r="GO800" s="133"/>
      <c r="GP800" s="133"/>
      <c r="GQ800" s="133"/>
      <c r="GR800" s="133"/>
      <c r="GS800" s="133"/>
      <c r="GT800" s="133"/>
      <c r="GU800" s="133"/>
      <c r="GV800" s="133"/>
      <c r="GW800" s="133"/>
      <c r="GX800" s="133"/>
      <c r="GY800" s="133"/>
      <c r="GZ800" s="133"/>
      <c r="HA800" s="133"/>
      <c r="HB800" s="133"/>
      <c r="HC800" s="133"/>
      <c r="HD800" s="133"/>
      <c r="HE800" s="133"/>
      <c r="HF800" s="133"/>
      <c r="HG800" s="133"/>
      <c r="HH800" s="133"/>
      <c r="HI800" s="133"/>
      <c r="HJ800" s="133"/>
      <c r="HK800" s="133"/>
      <c r="HL800" s="133"/>
      <c r="HM800" s="133"/>
      <c r="HN800" s="133"/>
      <c r="HO800" s="133"/>
      <c r="HP800" s="133"/>
      <c r="HQ800" s="133"/>
      <c r="HR800" s="133"/>
      <c r="HS800" s="133"/>
      <c r="HT800" s="133"/>
      <c r="HU800" s="133"/>
      <c r="HV800" s="133"/>
      <c r="HW800" s="133"/>
      <c r="HX800" s="133"/>
      <c r="HY800" s="133"/>
      <c r="HZ800" s="133"/>
      <c r="IA800" s="133"/>
      <c r="IB800" s="133"/>
      <c r="IC800" s="133"/>
      <c r="ID800" s="133"/>
      <c r="IE800" s="133"/>
      <c r="IF800" s="133"/>
      <c r="IG800" s="133"/>
      <c r="IH800" s="133"/>
      <c r="II800" s="133"/>
      <c r="IJ800" s="133"/>
      <c r="IK800" s="133"/>
      <c r="IL800" s="133"/>
      <c r="IM800" s="133"/>
      <c r="IN800" s="133"/>
      <c r="IO800" s="133"/>
      <c r="IP800" s="133"/>
      <c r="IQ800" s="133"/>
      <c r="IR800" s="133"/>
      <c r="IS800" s="133"/>
      <c r="IT800" s="133"/>
      <c r="IU800" s="133"/>
      <c r="IV800" s="133"/>
    </row>
    <row r="801" spans="1:256" s="132" customFormat="1" ht="13.8">
      <c r="A801" s="133"/>
      <c r="B801" s="133"/>
      <c r="C801" s="133"/>
      <c r="D801" s="133"/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GE801" s="133"/>
      <c r="GF801" s="133"/>
      <c r="GG801" s="133"/>
      <c r="GH801" s="133"/>
      <c r="GI801" s="133"/>
      <c r="GJ801" s="133"/>
      <c r="GK801" s="133"/>
      <c r="GL801" s="133"/>
      <c r="GM801" s="133"/>
      <c r="GN801" s="133"/>
      <c r="GO801" s="133"/>
      <c r="GP801" s="133"/>
      <c r="GQ801" s="133"/>
      <c r="GR801" s="133"/>
      <c r="GS801" s="133"/>
      <c r="GT801" s="133"/>
      <c r="GU801" s="133"/>
      <c r="GV801" s="133"/>
      <c r="GW801" s="133"/>
      <c r="GX801" s="133"/>
      <c r="GY801" s="133"/>
      <c r="GZ801" s="133"/>
      <c r="HA801" s="133"/>
      <c r="HB801" s="133"/>
      <c r="HC801" s="133"/>
      <c r="HD801" s="133"/>
      <c r="HE801" s="133"/>
      <c r="HF801" s="133"/>
      <c r="HG801" s="133"/>
      <c r="HH801" s="133"/>
      <c r="HI801" s="133"/>
      <c r="HJ801" s="133"/>
      <c r="HK801" s="133"/>
      <c r="HL801" s="133"/>
      <c r="HM801" s="133"/>
      <c r="HN801" s="133"/>
      <c r="HO801" s="133"/>
      <c r="HP801" s="133"/>
      <c r="HQ801" s="133"/>
      <c r="HR801" s="133"/>
      <c r="HS801" s="133"/>
      <c r="HT801" s="133"/>
      <c r="HU801" s="133"/>
      <c r="HV801" s="133"/>
      <c r="HW801" s="133"/>
      <c r="HX801" s="133"/>
      <c r="HY801" s="133"/>
      <c r="HZ801" s="133"/>
      <c r="IA801" s="133"/>
      <c r="IB801" s="133"/>
      <c r="IC801" s="133"/>
      <c r="ID801" s="133"/>
      <c r="IE801" s="133"/>
      <c r="IF801" s="133"/>
      <c r="IG801" s="133"/>
      <c r="IH801" s="133"/>
      <c r="II801" s="133"/>
      <c r="IJ801" s="133"/>
      <c r="IK801" s="133"/>
      <c r="IL801" s="133"/>
      <c r="IM801" s="133"/>
      <c r="IN801" s="133"/>
      <c r="IO801" s="133"/>
      <c r="IP801" s="133"/>
      <c r="IQ801" s="133"/>
      <c r="IR801" s="133"/>
      <c r="IS801" s="133"/>
      <c r="IT801" s="133"/>
      <c r="IU801" s="133"/>
      <c r="IV801" s="133"/>
    </row>
    <row r="802" spans="1:256" s="132" customFormat="1" ht="13.8">
      <c r="A802" s="133"/>
      <c r="B802" s="133"/>
      <c r="C802" s="133"/>
      <c r="D802" s="133"/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GE802" s="133"/>
      <c r="GF802" s="133"/>
      <c r="GG802" s="133"/>
      <c r="GH802" s="133"/>
      <c r="GI802" s="133"/>
      <c r="GJ802" s="133"/>
      <c r="GK802" s="133"/>
      <c r="GL802" s="133"/>
      <c r="GM802" s="133"/>
      <c r="GN802" s="133"/>
      <c r="GO802" s="133"/>
      <c r="GP802" s="133"/>
      <c r="GQ802" s="133"/>
      <c r="GR802" s="133"/>
      <c r="GS802" s="133"/>
      <c r="GT802" s="133"/>
      <c r="GU802" s="133"/>
      <c r="GV802" s="133"/>
      <c r="GW802" s="133"/>
      <c r="GX802" s="133"/>
      <c r="GY802" s="133"/>
      <c r="GZ802" s="133"/>
      <c r="HA802" s="133"/>
      <c r="HB802" s="133"/>
      <c r="HC802" s="133"/>
      <c r="HD802" s="133"/>
      <c r="HE802" s="133"/>
      <c r="HF802" s="133"/>
      <c r="HG802" s="133"/>
      <c r="HH802" s="133"/>
      <c r="HI802" s="133"/>
      <c r="HJ802" s="133"/>
      <c r="HK802" s="133"/>
      <c r="HL802" s="133"/>
      <c r="HM802" s="133"/>
      <c r="HN802" s="133"/>
      <c r="HO802" s="133"/>
      <c r="HP802" s="133"/>
      <c r="HQ802" s="133"/>
      <c r="HR802" s="133"/>
      <c r="HS802" s="133"/>
      <c r="HT802" s="133"/>
      <c r="HU802" s="133"/>
      <c r="HV802" s="133"/>
      <c r="HW802" s="133"/>
      <c r="HX802" s="133"/>
      <c r="HY802" s="133"/>
      <c r="HZ802" s="133"/>
      <c r="IA802" s="133"/>
      <c r="IB802" s="133"/>
      <c r="IC802" s="133"/>
      <c r="ID802" s="133"/>
      <c r="IE802" s="133"/>
      <c r="IF802" s="133"/>
      <c r="IG802" s="133"/>
      <c r="IH802" s="133"/>
      <c r="II802" s="133"/>
      <c r="IJ802" s="133"/>
      <c r="IK802" s="133"/>
      <c r="IL802" s="133"/>
      <c r="IM802" s="133"/>
      <c r="IN802" s="133"/>
      <c r="IO802" s="133"/>
      <c r="IP802" s="133"/>
      <c r="IQ802" s="133"/>
      <c r="IR802" s="133"/>
      <c r="IS802" s="133"/>
      <c r="IT802" s="133"/>
      <c r="IU802" s="133"/>
      <c r="IV802" s="133"/>
    </row>
    <row r="803" spans="1:256" s="132" customFormat="1" ht="13.8">
      <c r="A803" s="133"/>
      <c r="B803" s="133"/>
      <c r="C803" s="133"/>
      <c r="D803" s="133"/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GE803" s="133"/>
      <c r="GF803" s="133"/>
      <c r="GG803" s="133"/>
      <c r="GH803" s="133"/>
      <c r="GI803" s="133"/>
      <c r="GJ803" s="133"/>
      <c r="GK803" s="133"/>
      <c r="GL803" s="133"/>
      <c r="GM803" s="133"/>
      <c r="GN803" s="133"/>
      <c r="GO803" s="133"/>
      <c r="GP803" s="133"/>
      <c r="GQ803" s="133"/>
      <c r="GR803" s="133"/>
      <c r="GS803" s="133"/>
      <c r="GT803" s="133"/>
      <c r="GU803" s="133"/>
      <c r="GV803" s="133"/>
      <c r="GW803" s="133"/>
      <c r="GX803" s="133"/>
      <c r="GY803" s="133"/>
      <c r="GZ803" s="133"/>
      <c r="HA803" s="133"/>
      <c r="HB803" s="133"/>
      <c r="HC803" s="133"/>
      <c r="HD803" s="133"/>
      <c r="HE803" s="133"/>
      <c r="HF803" s="133"/>
      <c r="HG803" s="133"/>
      <c r="HH803" s="133"/>
      <c r="HI803" s="133"/>
      <c r="HJ803" s="133"/>
      <c r="HK803" s="133"/>
      <c r="HL803" s="133"/>
      <c r="HM803" s="133"/>
      <c r="HN803" s="133"/>
      <c r="HO803" s="133"/>
      <c r="HP803" s="133"/>
      <c r="HQ803" s="133"/>
      <c r="HR803" s="133"/>
      <c r="HS803" s="133"/>
      <c r="HT803" s="133"/>
      <c r="HU803" s="133"/>
      <c r="HV803" s="133"/>
      <c r="HW803" s="133"/>
      <c r="HX803" s="133"/>
      <c r="HY803" s="133"/>
      <c r="HZ803" s="133"/>
      <c r="IA803" s="133"/>
      <c r="IB803" s="133"/>
      <c r="IC803" s="133"/>
      <c r="ID803" s="133"/>
      <c r="IE803" s="133"/>
      <c r="IF803" s="133"/>
      <c r="IG803" s="133"/>
      <c r="IH803" s="133"/>
      <c r="II803" s="133"/>
      <c r="IJ803" s="133"/>
      <c r="IK803" s="133"/>
      <c r="IL803" s="133"/>
      <c r="IM803" s="133"/>
      <c r="IN803" s="133"/>
      <c r="IO803" s="133"/>
      <c r="IP803" s="133"/>
      <c r="IQ803" s="133"/>
      <c r="IR803" s="133"/>
      <c r="IS803" s="133"/>
      <c r="IT803" s="133"/>
      <c r="IU803" s="133"/>
      <c r="IV803" s="133"/>
    </row>
    <row r="804" spans="1:256" s="132" customFormat="1" ht="13.8">
      <c r="A804" s="133"/>
      <c r="B804" s="133"/>
      <c r="C804" s="133"/>
      <c r="D804" s="133"/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GE804" s="133"/>
      <c r="GF804" s="133"/>
      <c r="GG804" s="133"/>
      <c r="GH804" s="133"/>
      <c r="GI804" s="133"/>
      <c r="GJ804" s="133"/>
      <c r="GK804" s="133"/>
      <c r="GL804" s="133"/>
      <c r="GM804" s="133"/>
      <c r="GN804" s="133"/>
      <c r="GO804" s="133"/>
      <c r="GP804" s="133"/>
      <c r="GQ804" s="133"/>
      <c r="GR804" s="133"/>
      <c r="GS804" s="133"/>
      <c r="GT804" s="133"/>
      <c r="GU804" s="133"/>
      <c r="GV804" s="133"/>
      <c r="GW804" s="133"/>
      <c r="GX804" s="133"/>
      <c r="GY804" s="133"/>
      <c r="GZ804" s="133"/>
      <c r="HA804" s="133"/>
      <c r="HB804" s="133"/>
      <c r="HC804" s="133"/>
      <c r="HD804" s="133"/>
      <c r="HE804" s="133"/>
      <c r="HF804" s="133"/>
      <c r="HG804" s="133"/>
      <c r="HH804" s="133"/>
      <c r="HI804" s="133"/>
      <c r="HJ804" s="133"/>
      <c r="HK804" s="133"/>
      <c r="HL804" s="133"/>
      <c r="HM804" s="133"/>
      <c r="HN804" s="133"/>
      <c r="HO804" s="133"/>
      <c r="HP804" s="133"/>
      <c r="HQ804" s="133"/>
      <c r="HR804" s="133"/>
      <c r="HS804" s="133"/>
      <c r="HT804" s="133"/>
      <c r="HU804" s="133"/>
      <c r="HV804" s="133"/>
      <c r="HW804" s="133"/>
      <c r="HX804" s="133"/>
      <c r="HY804" s="133"/>
      <c r="HZ804" s="133"/>
      <c r="IA804" s="133"/>
      <c r="IB804" s="133"/>
      <c r="IC804" s="133"/>
      <c r="ID804" s="133"/>
      <c r="IE804" s="133"/>
      <c r="IF804" s="133"/>
      <c r="IG804" s="133"/>
      <c r="IH804" s="133"/>
      <c r="II804" s="133"/>
      <c r="IJ804" s="133"/>
      <c r="IK804" s="133"/>
      <c r="IL804" s="133"/>
      <c r="IM804" s="133"/>
      <c r="IN804" s="133"/>
      <c r="IO804" s="133"/>
      <c r="IP804" s="133"/>
      <c r="IQ804" s="133"/>
      <c r="IR804" s="133"/>
      <c r="IS804" s="133"/>
      <c r="IT804" s="133"/>
      <c r="IU804" s="133"/>
      <c r="IV804" s="133"/>
    </row>
    <row r="805" spans="1:256" s="132" customFormat="1" ht="13.8">
      <c r="A805" s="133"/>
      <c r="B805" s="133"/>
      <c r="C805" s="133"/>
      <c r="D805" s="133"/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GE805" s="133"/>
      <c r="GF805" s="133"/>
      <c r="GG805" s="133"/>
      <c r="GH805" s="133"/>
      <c r="GI805" s="133"/>
      <c r="GJ805" s="133"/>
      <c r="GK805" s="133"/>
      <c r="GL805" s="133"/>
      <c r="GM805" s="133"/>
      <c r="GN805" s="133"/>
      <c r="GO805" s="133"/>
      <c r="GP805" s="133"/>
      <c r="GQ805" s="133"/>
      <c r="GR805" s="133"/>
      <c r="GS805" s="133"/>
      <c r="GT805" s="133"/>
      <c r="GU805" s="133"/>
      <c r="GV805" s="133"/>
      <c r="GW805" s="133"/>
      <c r="GX805" s="133"/>
      <c r="GY805" s="133"/>
      <c r="GZ805" s="133"/>
      <c r="HA805" s="133"/>
      <c r="HB805" s="133"/>
      <c r="HC805" s="133"/>
      <c r="HD805" s="133"/>
      <c r="HE805" s="133"/>
      <c r="HF805" s="133"/>
      <c r="HG805" s="133"/>
      <c r="HH805" s="133"/>
      <c r="HI805" s="133"/>
      <c r="HJ805" s="133"/>
      <c r="HK805" s="133"/>
      <c r="HL805" s="133"/>
      <c r="HM805" s="133"/>
      <c r="HN805" s="133"/>
      <c r="HO805" s="133"/>
      <c r="HP805" s="133"/>
      <c r="HQ805" s="133"/>
      <c r="HR805" s="133"/>
      <c r="HS805" s="133"/>
      <c r="HT805" s="133"/>
      <c r="HU805" s="133"/>
      <c r="HV805" s="133"/>
      <c r="HW805" s="133"/>
      <c r="HX805" s="133"/>
      <c r="HY805" s="133"/>
      <c r="HZ805" s="133"/>
      <c r="IA805" s="133"/>
      <c r="IB805" s="133"/>
      <c r="IC805" s="133"/>
      <c r="ID805" s="133"/>
      <c r="IE805" s="133"/>
      <c r="IF805" s="133"/>
      <c r="IG805" s="133"/>
      <c r="IH805" s="133"/>
      <c r="II805" s="133"/>
      <c r="IJ805" s="133"/>
      <c r="IK805" s="133"/>
      <c r="IL805" s="133"/>
      <c r="IM805" s="133"/>
      <c r="IN805" s="133"/>
      <c r="IO805" s="133"/>
      <c r="IP805" s="133"/>
      <c r="IQ805" s="133"/>
      <c r="IR805" s="133"/>
      <c r="IS805" s="133"/>
      <c r="IT805" s="133"/>
      <c r="IU805" s="133"/>
      <c r="IV805" s="133"/>
    </row>
    <row r="806" spans="1:256" s="132" customFormat="1" ht="13.8">
      <c r="A806" s="133"/>
      <c r="B806" s="133"/>
      <c r="C806" s="133"/>
      <c r="D806" s="133"/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GE806" s="133"/>
      <c r="GF806" s="133"/>
      <c r="GG806" s="133"/>
      <c r="GH806" s="133"/>
      <c r="GI806" s="133"/>
      <c r="GJ806" s="133"/>
      <c r="GK806" s="133"/>
      <c r="GL806" s="133"/>
      <c r="GM806" s="133"/>
      <c r="GN806" s="133"/>
      <c r="GO806" s="133"/>
      <c r="GP806" s="133"/>
      <c r="GQ806" s="133"/>
      <c r="GR806" s="133"/>
      <c r="GS806" s="133"/>
      <c r="GT806" s="133"/>
      <c r="GU806" s="133"/>
      <c r="GV806" s="133"/>
      <c r="GW806" s="133"/>
      <c r="GX806" s="133"/>
      <c r="GY806" s="133"/>
      <c r="GZ806" s="133"/>
      <c r="HA806" s="133"/>
      <c r="HB806" s="133"/>
      <c r="HC806" s="133"/>
      <c r="HD806" s="133"/>
      <c r="HE806" s="133"/>
      <c r="HF806" s="133"/>
      <c r="HG806" s="133"/>
      <c r="HH806" s="133"/>
      <c r="HI806" s="133"/>
      <c r="HJ806" s="133"/>
      <c r="HK806" s="133"/>
      <c r="HL806" s="133"/>
      <c r="HM806" s="133"/>
      <c r="HN806" s="133"/>
      <c r="HO806" s="133"/>
      <c r="HP806" s="133"/>
      <c r="HQ806" s="133"/>
      <c r="HR806" s="133"/>
      <c r="HS806" s="133"/>
      <c r="HT806" s="133"/>
      <c r="HU806" s="133"/>
      <c r="HV806" s="133"/>
      <c r="HW806" s="133"/>
      <c r="HX806" s="133"/>
      <c r="HY806" s="133"/>
      <c r="HZ806" s="133"/>
      <c r="IA806" s="133"/>
      <c r="IB806" s="133"/>
      <c r="IC806" s="133"/>
      <c r="ID806" s="133"/>
      <c r="IE806" s="133"/>
      <c r="IF806" s="133"/>
      <c r="IG806" s="133"/>
      <c r="IH806" s="133"/>
      <c r="II806" s="133"/>
      <c r="IJ806" s="133"/>
      <c r="IK806" s="133"/>
      <c r="IL806" s="133"/>
      <c r="IM806" s="133"/>
      <c r="IN806" s="133"/>
      <c r="IO806" s="133"/>
      <c r="IP806" s="133"/>
      <c r="IQ806" s="133"/>
      <c r="IR806" s="133"/>
      <c r="IS806" s="133"/>
      <c r="IT806" s="133"/>
      <c r="IU806" s="133"/>
      <c r="IV806" s="133"/>
    </row>
    <row r="807" spans="1:256" s="132" customFormat="1" ht="13.8">
      <c r="A807" s="133"/>
      <c r="B807" s="133"/>
      <c r="C807" s="133"/>
      <c r="D807" s="133"/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GE807" s="133"/>
      <c r="GF807" s="133"/>
      <c r="GG807" s="133"/>
      <c r="GH807" s="133"/>
      <c r="GI807" s="133"/>
      <c r="GJ807" s="133"/>
      <c r="GK807" s="133"/>
      <c r="GL807" s="133"/>
      <c r="GM807" s="133"/>
      <c r="GN807" s="133"/>
      <c r="GO807" s="133"/>
      <c r="GP807" s="133"/>
      <c r="GQ807" s="133"/>
      <c r="GR807" s="133"/>
      <c r="GS807" s="133"/>
      <c r="GT807" s="133"/>
      <c r="GU807" s="133"/>
      <c r="GV807" s="133"/>
      <c r="GW807" s="133"/>
      <c r="GX807" s="133"/>
      <c r="GY807" s="133"/>
      <c r="GZ807" s="133"/>
      <c r="HA807" s="133"/>
      <c r="HB807" s="133"/>
      <c r="HC807" s="133"/>
      <c r="HD807" s="133"/>
      <c r="HE807" s="133"/>
      <c r="HF807" s="133"/>
      <c r="HG807" s="133"/>
      <c r="HH807" s="133"/>
      <c r="HI807" s="133"/>
      <c r="HJ807" s="133"/>
      <c r="HK807" s="133"/>
      <c r="HL807" s="133"/>
      <c r="HM807" s="133"/>
      <c r="HN807" s="133"/>
      <c r="HO807" s="133"/>
      <c r="HP807" s="133"/>
      <c r="HQ807" s="133"/>
      <c r="HR807" s="133"/>
      <c r="HS807" s="133"/>
      <c r="HT807" s="133"/>
      <c r="HU807" s="133"/>
      <c r="HV807" s="133"/>
      <c r="HW807" s="133"/>
      <c r="HX807" s="133"/>
      <c r="HY807" s="133"/>
      <c r="HZ807" s="133"/>
      <c r="IA807" s="133"/>
      <c r="IB807" s="133"/>
      <c r="IC807" s="133"/>
      <c r="ID807" s="133"/>
      <c r="IE807" s="133"/>
      <c r="IF807" s="133"/>
      <c r="IG807" s="133"/>
      <c r="IH807" s="133"/>
      <c r="II807" s="133"/>
      <c r="IJ807" s="133"/>
      <c r="IK807" s="133"/>
      <c r="IL807" s="133"/>
      <c r="IM807" s="133"/>
      <c r="IN807" s="133"/>
      <c r="IO807" s="133"/>
      <c r="IP807" s="133"/>
      <c r="IQ807" s="133"/>
      <c r="IR807" s="133"/>
      <c r="IS807" s="133"/>
      <c r="IT807" s="133"/>
      <c r="IU807" s="133"/>
      <c r="IV807" s="133"/>
    </row>
    <row r="808" spans="1:256" s="132" customFormat="1" ht="13.8">
      <c r="A808" s="133"/>
      <c r="B808" s="133"/>
      <c r="C808" s="133"/>
      <c r="D808" s="133"/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GE808" s="133"/>
      <c r="GF808" s="133"/>
      <c r="GG808" s="133"/>
      <c r="GH808" s="133"/>
      <c r="GI808" s="133"/>
      <c r="GJ808" s="133"/>
      <c r="GK808" s="133"/>
      <c r="GL808" s="133"/>
      <c r="GM808" s="133"/>
      <c r="GN808" s="133"/>
      <c r="GO808" s="133"/>
      <c r="GP808" s="133"/>
      <c r="GQ808" s="133"/>
      <c r="GR808" s="133"/>
      <c r="GS808" s="133"/>
      <c r="GT808" s="133"/>
      <c r="GU808" s="133"/>
      <c r="GV808" s="133"/>
      <c r="GW808" s="133"/>
      <c r="GX808" s="133"/>
      <c r="GY808" s="133"/>
      <c r="GZ808" s="133"/>
      <c r="HA808" s="133"/>
      <c r="HB808" s="133"/>
      <c r="HC808" s="133"/>
      <c r="HD808" s="133"/>
      <c r="HE808" s="133"/>
      <c r="HF808" s="133"/>
      <c r="HG808" s="133"/>
      <c r="HH808" s="133"/>
      <c r="HI808" s="133"/>
      <c r="HJ808" s="133"/>
      <c r="HK808" s="133"/>
      <c r="HL808" s="133"/>
      <c r="HM808" s="133"/>
      <c r="HN808" s="133"/>
      <c r="HO808" s="133"/>
      <c r="HP808" s="133"/>
      <c r="HQ808" s="133"/>
      <c r="HR808" s="133"/>
      <c r="HS808" s="133"/>
      <c r="HT808" s="133"/>
      <c r="HU808" s="133"/>
      <c r="HV808" s="133"/>
      <c r="HW808" s="133"/>
      <c r="HX808" s="133"/>
      <c r="HY808" s="133"/>
      <c r="HZ808" s="133"/>
      <c r="IA808" s="133"/>
      <c r="IB808" s="133"/>
      <c r="IC808" s="133"/>
      <c r="ID808" s="133"/>
      <c r="IE808" s="133"/>
      <c r="IF808" s="133"/>
      <c r="IG808" s="133"/>
      <c r="IH808" s="133"/>
      <c r="II808" s="133"/>
      <c r="IJ808" s="133"/>
      <c r="IK808" s="133"/>
      <c r="IL808" s="133"/>
      <c r="IM808" s="133"/>
      <c r="IN808" s="133"/>
      <c r="IO808" s="133"/>
      <c r="IP808" s="133"/>
      <c r="IQ808" s="133"/>
      <c r="IR808" s="133"/>
      <c r="IS808" s="133"/>
      <c r="IT808" s="133"/>
      <c r="IU808" s="133"/>
      <c r="IV808" s="133"/>
    </row>
    <row r="809" spans="1:256" s="132" customFormat="1" ht="13.8">
      <c r="A809" s="133"/>
      <c r="B809" s="133"/>
      <c r="C809" s="133"/>
      <c r="D809" s="133"/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GE809" s="133"/>
      <c r="GF809" s="133"/>
      <c r="GG809" s="133"/>
      <c r="GH809" s="133"/>
      <c r="GI809" s="133"/>
      <c r="GJ809" s="133"/>
      <c r="GK809" s="133"/>
      <c r="GL809" s="133"/>
      <c r="GM809" s="133"/>
      <c r="GN809" s="133"/>
      <c r="GO809" s="133"/>
      <c r="GP809" s="133"/>
      <c r="GQ809" s="133"/>
      <c r="GR809" s="133"/>
      <c r="GS809" s="133"/>
      <c r="GT809" s="133"/>
      <c r="GU809" s="133"/>
      <c r="GV809" s="133"/>
      <c r="GW809" s="133"/>
      <c r="GX809" s="133"/>
      <c r="GY809" s="133"/>
      <c r="GZ809" s="133"/>
      <c r="HA809" s="133"/>
      <c r="HB809" s="133"/>
      <c r="HC809" s="133"/>
      <c r="HD809" s="133"/>
      <c r="HE809" s="133"/>
      <c r="HF809" s="133"/>
      <c r="HG809" s="133"/>
      <c r="HH809" s="133"/>
      <c r="HI809" s="133"/>
      <c r="HJ809" s="133"/>
      <c r="HK809" s="133"/>
      <c r="HL809" s="133"/>
      <c r="HM809" s="133"/>
      <c r="HN809" s="133"/>
      <c r="HO809" s="133"/>
      <c r="HP809" s="133"/>
      <c r="HQ809" s="133"/>
      <c r="HR809" s="133"/>
      <c r="HS809" s="133"/>
      <c r="HT809" s="133"/>
      <c r="HU809" s="133"/>
      <c r="HV809" s="133"/>
      <c r="HW809" s="133"/>
      <c r="HX809" s="133"/>
      <c r="HY809" s="133"/>
      <c r="HZ809" s="133"/>
      <c r="IA809" s="133"/>
      <c r="IB809" s="133"/>
      <c r="IC809" s="133"/>
      <c r="ID809" s="133"/>
      <c r="IE809" s="133"/>
      <c r="IF809" s="133"/>
      <c r="IG809" s="133"/>
      <c r="IH809" s="133"/>
      <c r="II809" s="133"/>
      <c r="IJ809" s="133"/>
      <c r="IK809" s="133"/>
      <c r="IL809" s="133"/>
      <c r="IM809" s="133"/>
      <c r="IN809" s="133"/>
      <c r="IO809" s="133"/>
      <c r="IP809" s="133"/>
      <c r="IQ809" s="133"/>
      <c r="IR809" s="133"/>
      <c r="IS809" s="133"/>
      <c r="IT809" s="133"/>
      <c r="IU809" s="133"/>
      <c r="IV809" s="133"/>
    </row>
    <row r="810" spans="1:256" s="132" customFormat="1" ht="13.8">
      <c r="A810" s="133"/>
      <c r="B810" s="133"/>
      <c r="C810" s="133"/>
      <c r="D810" s="133"/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GE810" s="133"/>
      <c r="GF810" s="133"/>
      <c r="GG810" s="133"/>
      <c r="GH810" s="133"/>
      <c r="GI810" s="133"/>
      <c r="GJ810" s="133"/>
      <c r="GK810" s="133"/>
      <c r="GL810" s="133"/>
      <c r="GM810" s="133"/>
      <c r="GN810" s="133"/>
      <c r="GO810" s="133"/>
      <c r="GP810" s="133"/>
      <c r="GQ810" s="133"/>
      <c r="GR810" s="133"/>
      <c r="GS810" s="133"/>
      <c r="GT810" s="133"/>
      <c r="GU810" s="133"/>
      <c r="GV810" s="133"/>
      <c r="GW810" s="133"/>
      <c r="GX810" s="133"/>
      <c r="GY810" s="133"/>
      <c r="GZ810" s="133"/>
      <c r="HA810" s="133"/>
      <c r="HB810" s="133"/>
      <c r="HC810" s="133"/>
      <c r="HD810" s="133"/>
      <c r="HE810" s="133"/>
      <c r="HF810" s="133"/>
      <c r="HG810" s="133"/>
      <c r="HH810" s="133"/>
      <c r="HI810" s="133"/>
      <c r="HJ810" s="133"/>
      <c r="HK810" s="133"/>
      <c r="HL810" s="133"/>
      <c r="HM810" s="133"/>
      <c r="HN810" s="133"/>
      <c r="HO810" s="133"/>
      <c r="HP810" s="133"/>
      <c r="HQ810" s="133"/>
      <c r="HR810" s="133"/>
      <c r="HS810" s="133"/>
      <c r="HT810" s="133"/>
      <c r="HU810" s="133"/>
      <c r="HV810" s="133"/>
      <c r="HW810" s="133"/>
      <c r="HX810" s="133"/>
      <c r="HY810" s="133"/>
      <c r="HZ810" s="133"/>
      <c r="IA810" s="133"/>
      <c r="IB810" s="133"/>
      <c r="IC810" s="133"/>
      <c r="ID810" s="133"/>
      <c r="IE810" s="133"/>
      <c r="IF810" s="133"/>
      <c r="IG810" s="133"/>
      <c r="IH810" s="133"/>
      <c r="II810" s="133"/>
      <c r="IJ810" s="133"/>
      <c r="IK810" s="133"/>
      <c r="IL810" s="133"/>
      <c r="IM810" s="133"/>
      <c r="IN810" s="133"/>
      <c r="IO810" s="133"/>
      <c r="IP810" s="133"/>
      <c r="IQ810" s="133"/>
      <c r="IR810" s="133"/>
      <c r="IS810" s="133"/>
      <c r="IT810" s="133"/>
      <c r="IU810" s="133"/>
      <c r="IV810" s="133"/>
    </row>
    <row r="811" spans="1:256" s="132" customFormat="1" ht="13.8">
      <c r="A811" s="133"/>
      <c r="B811" s="133"/>
      <c r="C811" s="133"/>
      <c r="D811" s="133"/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GE811" s="133"/>
      <c r="GF811" s="133"/>
      <c r="GG811" s="133"/>
      <c r="GH811" s="133"/>
      <c r="GI811" s="133"/>
      <c r="GJ811" s="133"/>
      <c r="GK811" s="133"/>
      <c r="GL811" s="133"/>
      <c r="GM811" s="133"/>
      <c r="GN811" s="133"/>
      <c r="GO811" s="133"/>
      <c r="GP811" s="133"/>
      <c r="GQ811" s="133"/>
      <c r="GR811" s="133"/>
      <c r="GS811" s="133"/>
      <c r="GT811" s="133"/>
      <c r="GU811" s="133"/>
      <c r="GV811" s="133"/>
      <c r="GW811" s="133"/>
      <c r="GX811" s="133"/>
      <c r="GY811" s="133"/>
      <c r="GZ811" s="133"/>
      <c r="HA811" s="133"/>
      <c r="HB811" s="133"/>
      <c r="HC811" s="133"/>
      <c r="HD811" s="133"/>
      <c r="HE811" s="133"/>
      <c r="HF811" s="133"/>
      <c r="HG811" s="133"/>
      <c r="HH811" s="133"/>
      <c r="HI811" s="133"/>
      <c r="HJ811" s="133"/>
      <c r="HK811" s="133"/>
      <c r="HL811" s="133"/>
      <c r="HM811" s="133"/>
      <c r="HN811" s="133"/>
      <c r="HO811" s="133"/>
      <c r="HP811" s="133"/>
      <c r="HQ811" s="133"/>
      <c r="HR811" s="133"/>
      <c r="HS811" s="133"/>
      <c r="HT811" s="133"/>
      <c r="HU811" s="133"/>
      <c r="HV811" s="133"/>
      <c r="HW811" s="133"/>
      <c r="HX811" s="133"/>
      <c r="HY811" s="133"/>
      <c r="HZ811" s="133"/>
      <c r="IA811" s="133"/>
      <c r="IB811" s="133"/>
      <c r="IC811" s="133"/>
      <c r="ID811" s="133"/>
      <c r="IE811" s="133"/>
      <c r="IF811" s="133"/>
      <c r="IG811" s="133"/>
      <c r="IH811" s="133"/>
      <c r="II811" s="133"/>
      <c r="IJ811" s="133"/>
      <c r="IK811" s="133"/>
      <c r="IL811" s="133"/>
      <c r="IM811" s="133"/>
      <c r="IN811" s="133"/>
      <c r="IO811" s="133"/>
      <c r="IP811" s="133"/>
      <c r="IQ811" s="133"/>
      <c r="IR811" s="133"/>
      <c r="IS811" s="133"/>
      <c r="IT811" s="133"/>
      <c r="IU811" s="133"/>
      <c r="IV811" s="133"/>
    </row>
    <row r="812" spans="1:256" s="132" customFormat="1" ht="13.8">
      <c r="A812" s="133"/>
      <c r="B812" s="133"/>
      <c r="C812" s="133"/>
      <c r="D812" s="133"/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GE812" s="133"/>
      <c r="GF812" s="133"/>
      <c r="GG812" s="133"/>
      <c r="GH812" s="133"/>
      <c r="GI812" s="133"/>
      <c r="GJ812" s="133"/>
      <c r="GK812" s="133"/>
      <c r="GL812" s="133"/>
      <c r="GM812" s="133"/>
      <c r="GN812" s="133"/>
      <c r="GO812" s="133"/>
      <c r="GP812" s="133"/>
      <c r="GQ812" s="133"/>
      <c r="GR812" s="133"/>
      <c r="GS812" s="133"/>
      <c r="GT812" s="133"/>
      <c r="GU812" s="133"/>
      <c r="GV812" s="133"/>
      <c r="GW812" s="133"/>
      <c r="GX812" s="133"/>
      <c r="GY812" s="133"/>
      <c r="GZ812" s="133"/>
      <c r="HA812" s="133"/>
      <c r="HB812" s="133"/>
      <c r="HC812" s="133"/>
      <c r="HD812" s="133"/>
      <c r="HE812" s="133"/>
      <c r="HF812" s="133"/>
      <c r="HG812" s="133"/>
      <c r="HH812" s="133"/>
      <c r="HI812" s="133"/>
      <c r="HJ812" s="133"/>
      <c r="HK812" s="133"/>
      <c r="HL812" s="133"/>
      <c r="HM812" s="133"/>
      <c r="HN812" s="133"/>
      <c r="HO812" s="133"/>
      <c r="HP812" s="133"/>
      <c r="HQ812" s="133"/>
      <c r="HR812" s="133"/>
      <c r="HS812" s="133"/>
      <c r="HT812" s="133"/>
      <c r="HU812" s="133"/>
      <c r="HV812" s="133"/>
      <c r="HW812" s="133"/>
      <c r="HX812" s="133"/>
      <c r="HY812" s="133"/>
      <c r="HZ812" s="133"/>
      <c r="IA812" s="133"/>
      <c r="IB812" s="133"/>
      <c r="IC812" s="133"/>
      <c r="ID812" s="133"/>
      <c r="IE812" s="133"/>
      <c r="IF812" s="133"/>
      <c r="IG812" s="133"/>
      <c r="IH812" s="133"/>
      <c r="II812" s="133"/>
      <c r="IJ812" s="133"/>
      <c r="IK812" s="133"/>
      <c r="IL812" s="133"/>
      <c r="IM812" s="133"/>
      <c r="IN812" s="133"/>
      <c r="IO812" s="133"/>
      <c r="IP812" s="133"/>
      <c r="IQ812" s="133"/>
      <c r="IR812" s="133"/>
      <c r="IS812" s="133"/>
      <c r="IT812" s="133"/>
      <c r="IU812" s="133"/>
      <c r="IV812" s="133"/>
    </row>
    <row r="813" spans="1:256" s="132" customFormat="1" ht="13.8">
      <c r="A813" s="133"/>
      <c r="B813" s="133"/>
      <c r="C813" s="133"/>
      <c r="D813" s="133"/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GE813" s="133"/>
      <c r="GF813" s="133"/>
      <c r="GG813" s="133"/>
      <c r="GH813" s="133"/>
      <c r="GI813" s="133"/>
      <c r="GJ813" s="133"/>
      <c r="GK813" s="133"/>
      <c r="GL813" s="133"/>
      <c r="GM813" s="133"/>
      <c r="GN813" s="133"/>
      <c r="GO813" s="133"/>
      <c r="GP813" s="133"/>
      <c r="GQ813" s="133"/>
      <c r="GR813" s="133"/>
      <c r="GS813" s="133"/>
      <c r="GT813" s="133"/>
      <c r="GU813" s="133"/>
      <c r="GV813" s="133"/>
      <c r="GW813" s="133"/>
      <c r="GX813" s="133"/>
      <c r="GY813" s="133"/>
      <c r="GZ813" s="133"/>
      <c r="HA813" s="133"/>
      <c r="HB813" s="133"/>
      <c r="HC813" s="133"/>
      <c r="HD813" s="133"/>
      <c r="HE813" s="133"/>
      <c r="HF813" s="133"/>
      <c r="HG813" s="133"/>
      <c r="HH813" s="133"/>
      <c r="HI813" s="133"/>
      <c r="HJ813" s="133"/>
      <c r="HK813" s="133"/>
      <c r="HL813" s="133"/>
      <c r="HM813" s="133"/>
      <c r="HN813" s="133"/>
      <c r="HO813" s="133"/>
      <c r="HP813" s="133"/>
      <c r="HQ813" s="133"/>
      <c r="HR813" s="133"/>
      <c r="HS813" s="133"/>
      <c r="HT813" s="133"/>
      <c r="HU813" s="133"/>
      <c r="HV813" s="133"/>
      <c r="HW813" s="133"/>
      <c r="HX813" s="133"/>
      <c r="HY813" s="133"/>
      <c r="HZ813" s="133"/>
      <c r="IA813" s="133"/>
      <c r="IB813" s="133"/>
      <c r="IC813" s="133"/>
      <c r="ID813" s="133"/>
      <c r="IE813" s="133"/>
      <c r="IF813" s="133"/>
      <c r="IG813" s="133"/>
      <c r="IH813" s="133"/>
      <c r="II813" s="133"/>
      <c r="IJ813" s="133"/>
      <c r="IK813" s="133"/>
      <c r="IL813" s="133"/>
      <c r="IM813" s="133"/>
      <c r="IN813" s="133"/>
      <c r="IO813" s="133"/>
      <c r="IP813" s="133"/>
      <c r="IQ813" s="133"/>
      <c r="IR813" s="133"/>
      <c r="IS813" s="133"/>
      <c r="IT813" s="133"/>
      <c r="IU813" s="133"/>
      <c r="IV813" s="133"/>
    </row>
    <row r="814" spans="1:256" s="132" customFormat="1" ht="13.8">
      <c r="A814" s="133"/>
      <c r="B814" s="133"/>
      <c r="C814" s="133"/>
      <c r="D814" s="133"/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GE814" s="133"/>
      <c r="GF814" s="133"/>
      <c r="GG814" s="133"/>
      <c r="GH814" s="133"/>
      <c r="GI814" s="133"/>
      <c r="GJ814" s="133"/>
      <c r="GK814" s="133"/>
      <c r="GL814" s="133"/>
      <c r="GM814" s="133"/>
      <c r="GN814" s="133"/>
      <c r="GO814" s="133"/>
      <c r="GP814" s="133"/>
      <c r="GQ814" s="133"/>
      <c r="GR814" s="133"/>
      <c r="GS814" s="133"/>
      <c r="GT814" s="133"/>
      <c r="GU814" s="133"/>
      <c r="GV814" s="133"/>
      <c r="GW814" s="133"/>
      <c r="GX814" s="133"/>
      <c r="GY814" s="133"/>
      <c r="GZ814" s="133"/>
      <c r="HA814" s="133"/>
      <c r="HB814" s="133"/>
      <c r="HC814" s="133"/>
      <c r="HD814" s="133"/>
      <c r="HE814" s="133"/>
      <c r="HF814" s="133"/>
      <c r="HG814" s="133"/>
      <c r="HH814" s="133"/>
      <c r="HI814" s="133"/>
      <c r="HJ814" s="133"/>
      <c r="HK814" s="133"/>
      <c r="HL814" s="133"/>
      <c r="HM814" s="133"/>
      <c r="HN814" s="133"/>
      <c r="HO814" s="133"/>
      <c r="HP814" s="133"/>
      <c r="HQ814" s="133"/>
      <c r="HR814" s="133"/>
      <c r="HS814" s="133"/>
      <c r="HT814" s="133"/>
      <c r="HU814" s="133"/>
      <c r="HV814" s="133"/>
      <c r="HW814" s="133"/>
      <c r="HX814" s="133"/>
      <c r="HY814" s="133"/>
      <c r="HZ814" s="133"/>
      <c r="IA814" s="133"/>
      <c r="IB814" s="133"/>
      <c r="IC814" s="133"/>
      <c r="ID814" s="133"/>
      <c r="IE814" s="133"/>
      <c r="IF814" s="133"/>
      <c r="IG814" s="133"/>
      <c r="IH814" s="133"/>
      <c r="II814" s="133"/>
      <c r="IJ814" s="133"/>
      <c r="IK814" s="133"/>
      <c r="IL814" s="133"/>
      <c r="IM814" s="133"/>
      <c r="IN814" s="133"/>
      <c r="IO814" s="133"/>
      <c r="IP814" s="133"/>
      <c r="IQ814" s="133"/>
      <c r="IR814" s="133"/>
      <c r="IS814" s="133"/>
      <c r="IT814" s="133"/>
      <c r="IU814" s="133"/>
      <c r="IV814" s="133"/>
    </row>
    <row r="815" spans="1:256" s="132" customFormat="1" ht="13.8">
      <c r="A815" s="133"/>
      <c r="B815" s="133"/>
      <c r="C815" s="133"/>
      <c r="D815" s="133"/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GE815" s="133"/>
      <c r="GF815" s="133"/>
      <c r="GG815" s="133"/>
      <c r="GH815" s="133"/>
      <c r="GI815" s="133"/>
      <c r="GJ815" s="133"/>
      <c r="GK815" s="133"/>
      <c r="GL815" s="133"/>
      <c r="GM815" s="133"/>
      <c r="GN815" s="133"/>
      <c r="GO815" s="133"/>
      <c r="GP815" s="133"/>
      <c r="GQ815" s="133"/>
      <c r="GR815" s="133"/>
      <c r="GS815" s="133"/>
      <c r="GT815" s="133"/>
      <c r="GU815" s="133"/>
      <c r="GV815" s="133"/>
      <c r="GW815" s="133"/>
      <c r="GX815" s="133"/>
      <c r="GY815" s="133"/>
      <c r="GZ815" s="133"/>
      <c r="HA815" s="133"/>
      <c r="HB815" s="133"/>
      <c r="HC815" s="133"/>
      <c r="HD815" s="133"/>
      <c r="HE815" s="133"/>
      <c r="HF815" s="133"/>
      <c r="HG815" s="133"/>
      <c r="HH815" s="133"/>
      <c r="HI815" s="133"/>
      <c r="HJ815" s="133"/>
      <c r="HK815" s="133"/>
      <c r="HL815" s="133"/>
      <c r="HM815" s="133"/>
      <c r="HN815" s="133"/>
      <c r="HO815" s="133"/>
      <c r="HP815" s="133"/>
      <c r="HQ815" s="133"/>
      <c r="HR815" s="133"/>
      <c r="HS815" s="133"/>
      <c r="HT815" s="133"/>
      <c r="HU815" s="133"/>
      <c r="HV815" s="133"/>
      <c r="HW815" s="133"/>
      <c r="HX815" s="133"/>
      <c r="HY815" s="133"/>
      <c r="HZ815" s="133"/>
      <c r="IA815" s="133"/>
      <c r="IB815" s="133"/>
      <c r="IC815" s="133"/>
      <c r="ID815" s="133"/>
      <c r="IE815" s="133"/>
      <c r="IF815" s="133"/>
      <c r="IG815" s="133"/>
      <c r="IH815" s="133"/>
      <c r="II815" s="133"/>
      <c r="IJ815" s="133"/>
      <c r="IK815" s="133"/>
      <c r="IL815" s="133"/>
      <c r="IM815" s="133"/>
      <c r="IN815" s="133"/>
      <c r="IO815" s="133"/>
      <c r="IP815" s="133"/>
      <c r="IQ815" s="133"/>
      <c r="IR815" s="133"/>
      <c r="IS815" s="133"/>
      <c r="IT815" s="133"/>
      <c r="IU815" s="133"/>
      <c r="IV815" s="133"/>
    </row>
    <row r="816" spans="1:256" s="132" customFormat="1" ht="13.8">
      <c r="A816" s="133"/>
      <c r="B816" s="133"/>
      <c r="C816" s="133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GE816" s="133"/>
      <c r="GF816" s="133"/>
      <c r="GG816" s="133"/>
      <c r="GH816" s="133"/>
      <c r="GI816" s="133"/>
      <c r="GJ816" s="133"/>
      <c r="GK816" s="133"/>
      <c r="GL816" s="133"/>
      <c r="GM816" s="133"/>
      <c r="GN816" s="133"/>
      <c r="GO816" s="133"/>
      <c r="GP816" s="133"/>
      <c r="GQ816" s="133"/>
      <c r="GR816" s="133"/>
      <c r="GS816" s="133"/>
      <c r="GT816" s="133"/>
      <c r="GU816" s="133"/>
      <c r="GV816" s="133"/>
      <c r="GW816" s="133"/>
      <c r="GX816" s="133"/>
      <c r="GY816" s="133"/>
      <c r="GZ816" s="133"/>
      <c r="HA816" s="133"/>
      <c r="HB816" s="133"/>
      <c r="HC816" s="133"/>
      <c r="HD816" s="133"/>
      <c r="HE816" s="133"/>
      <c r="HF816" s="133"/>
      <c r="HG816" s="133"/>
      <c r="HH816" s="133"/>
      <c r="HI816" s="133"/>
      <c r="HJ816" s="133"/>
      <c r="HK816" s="133"/>
      <c r="HL816" s="133"/>
      <c r="HM816" s="133"/>
      <c r="HN816" s="133"/>
      <c r="HO816" s="133"/>
      <c r="HP816" s="133"/>
      <c r="HQ816" s="133"/>
      <c r="HR816" s="133"/>
      <c r="HS816" s="133"/>
      <c r="HT816" s="133"/>
      <c r="HU816" s="133"/>
      <c r="HV816" s="133"/>
      <c r="HW816" s="133"/>
      <c r="HX816" s="133"/>
      <c r="HY816" s="133"/>
      <c r="HZ816" s="133"/>
      <c r="IA816" s="133"/>
      <c r="IB816" s="133"/>
      <c r="IC816" s="133"/>
      <c r="ID816" s="133"/>
      <c r="IE816" s="133"/>
      <c r="IF816" s="133"/>
      <c r="IG816" s="133"/>
      <c r="IH816" s="133"/>
      <c r="II816" s="133"/>
      <c r="IJ816" s="133"/>
      <c r="IK816" s="133"/>
      <c r="IL816" s="133"/>
      <c r="IM816" s="133"/>
      <c r="IN816" s="133"/>
      <c r="IO816" s="133"/>
      <c r="IP816" s="133"/>
      <c r="IQ816" s="133"/>
      <c r="IR816" s="133"/>
      <c r="IS816" s="133"/>
      <c r="IT816" s="133"/>
      <c r="IU816" s="133"/>
      <c r="IV816" s="133"/>
    </row>
    <row r="817" spans="1:256" s="132" customFormat="1" ht="13.8">
      <c r="A817" s="133"/>
      <c r="B817" s="133"/>
      <c r="C817" s="133"/>
      <c r="D817" s="133"/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GE817" s="133"/>
      <c r="GF817" s="133"/>
      <c r="GG817" s="133"/>
      <c r="GH817" s="133"/>
      <c r="GI817" s="133"/>
      <c r="GJ817" s="133"/>
      <c r="GK817" s="133"/>
      <c r="GL817" s="133"/>
      <c r="GM817" s="133"/>
      <c r="GN817" s="133"/>
      <c r="GO817" s="133"/>
      <c r="GP817" s="133"/>
      <c r="GQ817" s="133"/>
      <c r="GR817" s="133"/>
      <c r="GS817" s="133"/>
      <c r="GT817" s="133"/>
      <c r="GU817" s="133"/>
      <c r="GV817" s="133"/>
      <c r="GW817" s="133"/>
      <c r="GX817" s="133"/>
      <c r="GY817" s="133"/>
      <c r="GZ817" s="133"/>
      <c r="HA817" s="133"/>
      <c r="HB817" s="133"/>
      <c r="HC817" s="133"/>
      <c r="HD817" s="133"/>
      <c r="HE817" s="133"/>
      <c r="HF817" s="133"/>
      <c r="HG817" s="133"/>
      <c r="HH817" s="133"/>
      <c r="HI817" s="133"/>
      <c r="HJ817" s="133"/>
      <c r="HK817" s="133"/>
      <c r="HL817" s="133"/>
      <c r="HM817" s="133"/>
      <c r="HN817" s="133"/>
      <c r="HO817" s="133"/>
      <c r="HP817" s="133"/>
      <c r="HQ817" s="133"/>
      <c r="HR817" s="133"/>
      <c r="HS817" s="133"/>
      <c r="HT817" s="133"/>
      <c r="HU817" s="133"/>
      <c r="HV817" s="133"/>
      <c r="HW817" s="133"/>
      <c r="HX817" s="133"/>
      <c r="HY817" s="133"/>
      <c r="HZ817" s="133"/>
      <c r="IA817" s="133"/>
      <c r="IB817" s="133"/>
      <c r="IC817" s="133"/>
      <c r="ID817" s="133"/>
      <c r="IE817" s="133"/>
      <c r="IF817" s="133"/>
      <c r="IG817" s="133"/>
      <c r="IH817" s="133"/>
      <c r="II817" s="133"/>
      <c r="IJ817" s="133"/>
      <c r="IK817" s="133"/>
      <c r="IL817" s="133"/>
      <c r="IM817" s="133"/>
      <c r="IN817" s="133"/>
      <c r="IO817" s="133"/>
      <c r="IP817" s="133"/>
      <c r="IQ817" s="133"/>
      <c r="IR817" s="133"/>
      <c r="IS817" s="133"/>
      <c r="IT817" s="133"/>
      <c r="IU817" s="133"/>
      <c r="IV817" s="133"/>
    </row>
    <row r="818" spans="1:256" s="132" customFormat="1" ht="13.8">
      <c r="A818" s="133"/>
      <c r="B818" s="133"/>
      <c r="C818" s="133"/>
      <c r="D818" s="133"/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GE818" s="133"/>
      <c r="GF818" s="133"/>
      <c r="GG818" s="133"/>
      <c r="GH818" s="133"/>
      <c r="GI818" s="133"/>
      <c r="GJ818" s="133"/>
      <c r="GK818" s="133"/>
      <c r="GL818" s="133"/>
      <c r="GM818" s="133"/>
      <c r="GN818" s="133"/>
      <c r="GO818" s="133"/>
      <c r="GP818" s="133"/>
      <c r="GQ818" s="133"/>
      <c r="GR818" s="133"/>
      <c r="GS818" s="133"/>
      <c r="GT818" s="133"/>
      <c r="GU818" s="133"/>
      <c r="GV818" s="133"/>
      <c r="GW818" s="133"/>
      <c r="GX818" s="133"/>
      <c r="GY818" s="133"/>
      <c r="GZ818" s="133"/>
      <c r="HA818" s="133"/>
      <c r="HB818" s="133"/>
      <c r="HC818" s="133"/>
      <c r="HD818" s="133"/>
      <c r="HE818" s="133"/>
      <c r="HF818" s="133"/>
      <c r="HG818" s="133"/>
      <c r="HH818" s="133"/>
      <c r="HI818" s="133"/>
      <c r="HJ818" s="133"/>
      <c r="HK818" s="133"/>
      <c r="HL818" s="133"/>
      <c r="HM818" s="133"/>
      <c r="HN818" s="133"/>
      <c r="HO818" s="133"/>
      <c r="HP818" s="133"/>
      <c r="HQ818" s="133"/>
      <c r="HR818" s="133"/>
      <c r="HS818" s="133"/>
      <c r="HT818" s="133"/>
      <c r="HU818" s="133"/>
      <c r="HV818" s="133"/>
      <c r="HW818" s="133"/>
      <c r="HX818" s="133"/>
      <c r="HY818" s="133"/>
      <c r="HZ818" s="133"/>
      <c r="IA818" s="133"/>
      <c r="IB818" s="133"/>
      <c r="IC818" s="133"/>
      <c r="ID818" s="133"/>
      <c r="IE818" s="133"/>
      <c r="IF818" s="133"/>
      <c r="IG818" s="133"/>
      <c r="IH818" s="133"/>
      <c r="II818" s="133"/>
      <c r="IJ818" s="133"/>
      <c r="IK818" s="133"/>
      <c r="IL818" s="133"/>
      <c r="IM818" s="133"/>
      <c r="IN818" s="133"/>
      <c r="IO818" s="133"/>
      <c r="IP818" s="133"/>
      <c r="IQ818" s="133"/>
      <c r="IR818" s="133"/>
      <c r="IS818" s="133"/>
      <c r="IT818" s="133"/>
      <c r="IU818" s="133"/>
      <c r="IV818" s="133"/>
    </row>
    <row r="819" spans="1:256" s="132" customFormat="1" ht="13.8">
      <c r="A819" s="133"/>
      <c r="B819" s="133"/>
      <c r="C819" s="133"/>
      <c r="D819" s="133"/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GE819" s="133"/>
      <c r="GF819" s="133"/>
      <c r="GG819" s="133"/>
      <c r="GH819" s="133"/>
      <c r="GI819" s="133"/>
      <c r="GJ819" s="133"/>
      <c r="GK819" s="133"/>
      <c r="GL819" s="133"/>
      <c r="GM819" s="133"/>
      <c r="GN819" s="133"/>
      <c r="GO819" s="133"/>
      <c r="GP819" s="133"/>
      <c r="GQ819" s="133"/>
      <c r="GR819" s="133"/>
      <c r="GS819" s="133"/>
      <c r="GT819" s="133"/>
      <c r="GU819" s="133"/>
      <c r="GV819" s="133"/>
      <c r="GW819" s="133"/>
      <c r="GX819" s="133"/>
      <c r="GY819" s="133"/>
      <c r="GZ819" s="133"/>
      <c r="HA819" s="133"/>
      <c r="HB819" s="133"/>
      <c r="HC819" s="133"/>
      <c r="HD819" s="133"/>
      <c r="HE819" s="133"/>
      <c r="HF819" s="133"/>
      <c r="HG819" s="133"/>
      <c r="HH819" s="133"/>
      <c r="HI819" s="133"/>
      <c r="HJ819" s="133"/>
      <c r="HK819" s="133"/>
      <c r="HL819" s="133"/>
      <c r="HM819" s="133"/>
      <c r="HN819" s="133"/>
      <c r="HO819" s="133"/>
      <c r="HP819" s="133"/>
      <c r="HQ819" s="133"/>
      <c r="HR819" s="133"/>
      <c r="HS819" s="133"/>
      <c r="HT819" s="133"/>
      <c r="HU819" s="133"/>
      <c r="HV819" s="133"/>
      <c r="HW819" s="133"/>
      <c r="HX819" s="133"/>
      <c r="HY819" s="133"/>
      <c r="HZ819" s="133"/>
      <c r="IA819" s="133"/>
      <c r="IB819" s="133"/>
      <c r="IC819" s="133"/>
      <c r="ID819" s="133"/>
      <c r="IE819" s="133"/>
      <c r="IF819" s="133"/>
      <c r="IG819" s="133"/>
      <c r="IH819" s="133"/>
      <c r="II819" s="133"/>
      <c r="IJ819" s="133"/>
      <c r="IK819" s="133"/>
      <c r="IL819" s="133"/>
      <c r="IM819" s="133"/>
      <c r="IN819" s="133"/>
      <c r="IO819" s="133"/>
      <c r="IP819" s="133"/>
      <c r="IQ819" s="133"/>
      <c r="IR819" s="133"/>
      <c r="IS819" s="133"/>
      <c r="IT819" s="133"/>
      <c r="IU819" s="133"/>
      <c r="IV819" s="133"/>
    </row>
    <row r="820" spans="1:256" s="132" customFormat="1" ht="13.8">
      <c r="A820" s="133"/>
      <c r="B820" s="133"/>
      <c r="C820" s="133"/>
      <c r="D820" s="133"/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GE820" s="133"/>
      <c r="GF820" s="133"/>
      <c r="GG820" s="133"/>
      <c r="GH820" s="133"/>
      <c r="GI820" s="133"/>
      <c r="GJ820" s="133"/>
      <c r="GK820" s="133"/>
      <c r="GL820" s="133"/>
      <c r="GM820" s="133"/>
      <c r="GN820" s="133"/>
      <c r="GO820" s="133"/>
      <c r="GP820" s="133"/>
      <c r="GQ820" s="133"/>
      <c r="GR820" s="133"/>
      <c r="GS820" s="133"/>
      <c r="GT820" s="133"/>
      <c r="GU820" s="133"/>
      <c r="GV820" s="133"/>
      <c r="GW820" s="133"/>
      <c r="GX820" s="133"/>
      <c r="GY820" s="133"/>
      <c r="GZ820" s="133"/>
      <c r="HA820" s="133"/>
      <c r="HB820" s="133"/>
      <c r="HC820" s="133"/>
      <c r="HD820" s="133"/>
      <c r="HE820" s="133"/>
      <c r="HF820" s="133"/>
      <c r="HG820" s="133"/>
      <c r="HH820" s="133"/>
      <c r="HI820" s="133"/>
      <c r="HJ820" s="133"/>
      <c r="HK820" s="133"/>
      <c r="HL820" s="133"/>
      <c r="HM820" s="133"/>
      <c r="HN820" s="133"/>
      <c r="HO820" s="133"/>
      <c r="HP820" s="133"/>
      <c r="HQ820" s="133"/>
      <c r="HR820" s="133"/>
      <c r="HS820" s="133"/>
      <c r="HT820" s="133"/>
      <c r="HU820" s="133"/>
      <c r="HV820" s="133"/>
      <c r="HW820" s="133"/>
      <c r="HX820" s="133"/>
      <c r="HY820" s="133"/>
      <c r="HZ820" s="133"/>
      <c r="IA820" s="133"/>
      <c r="IB820" s="133"/>
      <c r="IC820" s="133"/>
      <c r="ID820" s="133"/>
      <c r="IE820" s="133"/>
      <c r="IF820" s="133"/>
      <c r="IG820" s="133"/>
      <c r="IH820" s="133"/>
      <c r="II820" s="133"/>
      <c r="IJ820" s="133"/>
      <c r="IK820" s="133"/>
      <c r="IL820" s="133"/>
      <c r="IM820" s="133"/>
      <c r="IN820" s="133"/>
      <c r="IO820" s="133"/>
      <c r="IP820" s="133"/>
      <c r="IQ820" s="133"/>
      <c r="IR820" s="133"/>
      <c r="IS820" s="133"/>
      <c r="IT820" s="133"/>
      <c r="IU820" s="133"/>
      <c r="IV820" s="133"/>
    </row>
    <row r="821" spans="1:256" s="132" customFormat="1" ht="13.8">
      <c r="A821" s="133"/>
      <c r="B821" s="133"/>
      <c r="C821" s="133"/>
      <c r="D821" s="133"/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GE821" s="133"/>
      <c r="GF821" s="133"/>
      <c r="GG821" s="133"/>
      <c r="GH821" s="133"/>
      <c r="GI821" s="133"/>
      <c r="GJ821" s="133"/>
      <c r="GK821" s="133"/>
      <c r="GL821" s="133"/>
      <c r="GM821" s="133"/>
      <c r="GN821" s="133"/>
      <c r="GO821" s="133"/>
      <c r="GP821" s="133"/>
      <c r="GQ821" s="133"/>
      <c r="GR821" s="133"/>
      <c r="GS821" s="133"/>
      <c r="GT821" s="133"/>
      <c r="GU821" s="133"/>
      <c r="GV821" s="133"/>
      <c r="GW821" s="133"/>
      <c r="GX821" s="133"/>
      <c r="GY821" s="133"/>
      <c r="GZ821" s="133"/>
      <c r="HA821" s="133"/>
      <c r="HB821" s="133"/>
      <c r="HC821" s="133"/>
      <c r="HD821" s="133"/>
      <c r="HE821" s="133"/>
      <c r="HF821" s="133"/>
      <c r="HG821" s="133"/>
      <c r="HH821" s="133"/>
      <c r="HI821" s="133"/>
      <c r="HJ821" s="133"/>
      <c r="HK821" s="133"/>
      <c r="HL821" s="133"/>
      <c r="HM821" s="133"/>
      <c r="HN821" s="133"/>
      <c r="HO821" s="133"/>
      <c r="HP821" s="133"/>
      <c r="HQ821" s="133"/>
      <c r="HR821" s="133"/>
      <c r="HS821" s="133"/>
      <c r="HT821" s="133"/>
      <c r="HU821" s="133"/>
      <c r="HV821" s="133"/>
      <c r="HW821" s="133"/>
      <c r="HX821" s="133"/>
      <c r="HY821" s="133"/>
      <c r="HZ821" s="133"/>
      <c r="IA821" s="133"/>
      <c r="IB821" s="133"/>
      <c r="IC821" s="133"/>
      <c r="ID821" s="133"/>
      <c r="IE821" s="133"/>
      <c r="IF821" s="133"/>
      <c r="IG821" s="133"/>
      <c r="IH821" s="133"/>
      <c r="II821" s="133"/>
      <c r="IJ821" s="133"/>
      <c r="IK821" s="133"/>
      <c r="IL821" s="133"/>
      <c r="IM821" s="133"/>
      <c r="IN821" s="133"/>
      <c r="IO821" s="133"/>
      <c r="IP821" s="133"/>
      <c r="IQ821" s="133"/>
      <c r="IR821" s="133"/>
      <c r="IS821" s="133"/>
      <c r="IT821" s="133"/>
      <c r="IU821" s="133"/>
      <c r="IV821" s="133"/>
    </row>
    <row r="822" spans="1:256" s="132" customFormat="1" ht="13.8">
      <c r="A822" s="133"/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GE822" s="133"/>
      <c r="GF822" s="133"/>
      <c r="GG822" s="133"/>
      <c r="GH822" s="133"/>
      <c r="GI822" s="133"/>
      <c r="GJ822" s="133"/>
      <c r="GK822" s="133"/>
      <c r="GL822" s="133"/>
      <c r="GM822" s="133"/>
      <c r="GN822" s="133"/>
      <c r="GO822" s="133"/>
      <c r="GP822" s="133"/>
      <c r="GQ822" s="133"/>
      <c r="GR822" s="133"/>
      <c r="GS822" s="133"/>
      <c r="GT822" s="133"/>
      <c r="GU822" s="133"/>
      <c r="GV822" s="133"/>
      <c r="GW822" s="133"/>
      <c r="GX822" s="133"/>
      <c r="GY822" s="133"/>
      <c r="GZ822" s="133"/>
      <c r="HA822" s="133"/>
      <c r="HB822" s="133"/>
      <c r="HC822" s="133"/>
      <c r="HD822" s="133"/>
      <c r="HE822" s="133"/>
      <c r="HF822" s="133"/>
      <c r="HG822" s="133"/>
      <c r="HH822" s="133"/>
      <c r="HI822" s="133"/>
      <c r="HJ822" s="133"/>
      <c r="HK822" s="133"/>
      <c r="HL822" s="133"/>
      <c r="HM822" s="133"/>
      <c r="HN822" s="133"/>
      <c r="HO822" s="133"/>
      <c r="HP822" s="133"/>
      <c r="HQ822" s="133"/>
      <c r="HR822" s="133"/>
      <c r="HS822" s="133"/>
      <c r="HT822" s="133"/>
      <c r="HU822" s="133"/>
      <c r="HV822" s="133"/>
      <c r="HW822" s="133"/>
      <c r="HX822" s="133"/>
      <c r="HY822" s="133"/>
      <c r="HZ822" s="133"/>
      <c r="IA822" s="133"/>
      <c r="IB822" s="133"/>
      <c r="IC822" s="133"/>
      <c r="ID822" s="133"/>
      <c r="IE822" s="133"/>
      <c r="IF822" s="133"/>
      <c r="IG822" s="133"/>
      <c r="IH822" s="133"/>
      <c r="II822" s="133"/>
      <c r="IJ822" s="133"/>
      <c r="IK822" s="133"/>
      <c r="IL822" s="133"/>
      <c r="IM822" s="133"/>
      <c r="IN822" s="133"/>
      <c r="IO822" s="133"/>
      <c r="IP822" s="133"/>
      <c r="IQ822" s="133"/>
      <c r="IR822" s="133"/>
      <c r="IS822" s="133"/>
      <c r="IT822" s="133"/>
      <c r="IU822" s="133"/>
      <c r="IV822" s="133"/>
    </row>
    <row r="823" spans="1:256" s="132" customFormat="1" ht="13.8">
      <c r="A823" s="133"/>
      <c r="B823" s="133"/>
      <c r="C823" s="133"/>
      <c r="D823" s="133"/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GE823" s="133"/>
      <c r="GF823" s="133"/>
      <c r="GG823" s="133"/>
      <c r="GH823" s="133"/>
      <c r="GI823" s="133"/>
      <c r="GJ823" s="133"/>
      <c r="GK823" s="133"/>
      <c r="GL823" s="133"/>
      <c r="GM823" s="133"/>
      <c r="GN823" s="133"/>
      <c r="GO823" s="133"/>
      <c r="GP823" s="133"/>
      <c r="GQ823" s="133"/>
      <c r="GR823" s="133"/>
      <c r="GS823" s="133"/>
      <c r="GT823" s="133"/>
      <c r="GU823" s="133"/>
      <c r="GV823" s="133"/>
      <c r="GW823" s="133"/>
      <c r="GX823" s="133"/>
      <c r="GY823" s="133"/>
      <c r="GZ823" s="133"/>
      <c r="HA823" s="133"/>
      <c r="HB823" s="133"/>
      <c r="HC823" s="133"/>
      <c r="HD823" s="133"/>
      <c r="HE823" s="133"/>
      <c r="HF823" s="133"/>
      <c r="HG823" s="133"/>
      <c r="HH823" s="133"/>
      <c r="HI823" s="133"/>
      <c r="HJ823" s="133"/>
      <c r="HK823" s="133"/>
      <c r="HL823" s="133"/>
      <c r="HM823" s="133"/>
      <c r="HN823" s="133"/>
      <c r="HO823" s="133"/>
      <c r="HP823" s="133"/>
      <c r="HQ823" s="133"/>
      <c r="HR823" s="133"/>
      <c r="HS823" s="133"/>
      <c r="HT823" s="133"/>
      <c r="HU823" s="133"/>
      <c r="HV823" s="133"/>
      <c r="HW823" s="133"/>
      <c r="HX823" s="133"/>
      <c r="HY823" s="133"/>
      <c r="HZ823" s="133"/>
      <c r="IA823" s="133"/>
      <c r="IB823" s="133"/>
      <c r="IC823" s="133"/>
      <c r="ID823" s="133"/>
      <c r="IE823" s="133"/>
      <c r="IF823" s="133"/>
      <c r="IG823" s="133"/>
      <c r="IH823" s="133"/>
      <c r="II823" s="133"/>
      <c r="IJ823" s="133"/>
      <c r="IK823" s="133"/>
      <c r="IL823" s="133"/>
      <c r="IM823" s="133"/>
      <c r="IN823" s="133"/>
      <c r="IO823" s="133"/>
      <c r="IP823" s="133"/>
      <c r="IQ823" s="133"/>
      <c r="IR823" s="133"/>
      <c r="IS823" s="133"/>
      <c r="IT823" s="133"/>
      <c r="IU823" s="133"/>
      <c r="IV823" s="133"/>
    </row>
    <row r="824" spans="1:256" s="132" customFormat="1" ht="13.8">
      <c r="A824" s="133"/>
      <c r="B824" s="133"/>
      <c r="C824" s="133"/>
      <c r="D824" s="133"/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GE824" s="133"/>
      <c r="GF824" s="133"/>
      <c r="GG824" s="133"/>
      <c r="GH824" s="133"/>
      <c r="GI824" s="133"/>
      <c r="GJ824" s="133"/>
      <c r="GK824" s="133"/>
      <c r="GL824" s="133"/>
      <c r="GM824" s="133"/>
      <c r="GN824" s="133"/>
      <c r="GO824" s="133"/>
      <c r="GP824" s="133"/>
      <c r="GQ824" s="133"/>
      <c r="GR824" s="133"/>
      <c r="GS824" s="133"/>
      <c r="GT824" s="133"/>
      <c r="GU824" s="133"/>
      <c r="GV824" s="133"/>
      <c r="GW824" s="133"/>
      <c r="GX824" s="133"/>
      <c r="GY824" s="133"/>
      <c r="GZ824" s="133"/>
      <c r="HA824" s="133"/>
      <c r="HB824" s="133"/>
      <c r="HC824" s="133"/>
      <c r="HD824" s="133"/>
      <c r="HE824" s="133"/>
      <c r="HF824" s="133"/>
      <c r="HG824" s="133"/>
      <c r="HH824" s="133"/>
      <c r="HI824" s="133"/>
      <c r="HJ824" s="133"/>
      <c r="HK824" s="133"/>
      <c r="HL824" s="133"/>
      <c r="HM824" s="133"/>
      <c r="HN824" s="133"/>
      <c r="HO824" s="133"/>
      <c r="HP824" s="133"/>
      <c r="HQ824" s="133"/>
      <c r="HR824" s="133"/>
      <c r="HS824" s="133"/>
      <c r="HT824" s="133"/>
      <c r="HU824" s="133"/>
      <c r="HV824" s="133"/>
      <c r="HW824" s="133"/>
      <c r="HX824" s="133"/>
      <c r="HY824" s="133"/>
      <c r="HZ824" s="133"/>
      <c r="IA824" s="133"/>
      <c r="IB824" s="133"/>
      <c r="IC824" s="133"/>
      <c r="ID824" s="133"/>
      <c r="IE824" s="133"/>
      <c r="IF824" s="133"/>
      <c r="IG824" s="133"/>
      <c r="IH824" s="133"/>
      <c r="II824" s="133"/>
      <c r="IJ824" s="133"/>
      <c r="IK824" s="133"/>
      <c r="IL824" s="133"/>
      <c r="IM824" s="133"/>
      <c r="IN824" s="133"/>
      <c r="IO824" s="133"/>
      <c r="IP824" s="133"/>
      <c r="IQ824" s="133"/>
      <c r="IR824" s="133"/>
      <c r="IS824" s="133"/>
      <c r="IT824" s="133"/>
      <c r="IU824" s="133"/>
      <c r="IV824" s="133"/>
    </row>
    <row r="825" spans="1:256" s="132" customFormat="1" ht="13.8">
      <c r="A825" s="133"/>
      <c r="B825" s="133"/>
      <c r="C825" s="133"/>
      <c r="D825" s="133"/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GE825" s="133"/>
      <c r="GF825" s="133"/>
      <c r="GG825" s="133"/>
      <c r="GH825" s="133"/>
      <c r="GI825" s="133"/>
      <c r="GJ825" s="133"/>
      <c r="GK825" s="133"/>
      <c r="GL825" s="133"/>
      <c r="GM825" s="133"/>
      <c r="GN825" s="133"/>
      <c r="GO825" s="133"/>
      <c r="GP825" s="133"/>
      <c r="GQ825" s="133"/>
      <c r="GR825" s="133"/>
      <c r="GS825" s="133"/>
      <c r="GT825" s="133"/>
      <c r="GU825" s="133"/>
      <c r="GV825" s="133"/>
      <c r="GW825" s="133"/>
      <c r="GX825" s="133"/>
      <c r="GY825" s="133"/>
      <c r="GZ825" s="133"/>
      <c r="HA825" s="133"/>
      <c r="HB825" s="133"/>
      <c r="HC825" s="133"/>
      <c r="HD825" s="133"/>
      <c r="HE825" s="133"/>
      <c r="HF825" s="133"/>
      <c r="HG825" s="133"/>
      <c r="HH825" s="133"/>
      <c r="HI825" s="133"/>
      <c r="HJ825" s="133"/>
      <c r="HK825" s="133"/>
      <c r="HL825" s="133"/>
      <c r="HM825" s="133"/>
      <c r="HN825" s="133"/>
      <c r="HO825" s="133"/>
      <c r="HP825" s="133"/>
      <c r="HQ825" s="133"/>
      <c r="HR825" s="133"/>
      <c r="HS825" s="133"/>
      <c r="HT825" s="133"/>
      <c r="HU825" s="133"/>
      <c r="HV825" s="133"/>
      <c r="HW825" s="133"/>
      <c r="HX825" s="133"/>
      <c r="HY825" s="133"/>
      <c r="HZ825" s="133"/>
      <c r="IA825" s="133"/>
      <c r="IB825" s="133"/>
      <c r="IC825" s="133"/>
      <c r="ID825" s="133"/>
      <c r="IE825" s="133"/>
      <c r="IF825" s="133"/>
      <c r="IG825" s="133"/>
      <c r="IH825" s="133"/>
      <c r="II825" s="133"/>
      <c r="IJ825" s="133"/>
      <c r="IK825" s="133"/>
      <c r="IL825" s="133"/>
      <c r="IM825" s="133"/>
      <c r="IN825" s="133"/>
      <c r="IO825" s="133"/>
      <c r="IP825" s="133"/>
      <c r="IQ825" s="133"/>
      <c r="IR825" s="133"/>
      <c r="IS825" s="133"/>
      <c r="IT825" s="133"/>
      <c r="IU825" s="133"/>
      <c r="IV825" s="133"/>
    </row>
    <row r="826" spans="1:256" s="132" customFormat="1" ht="13.8">
      <c r="A826" s="133"/>
      <c r="B826" s="133"/>
      <c r="C826" s="133"/>
      <c r="D826" s="133"/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GE826" s="133"/>
      <c r="GF826" s="133"/>
      <c r="GG826" s="133"/>
      <c r="GH826" s="133"/>
      <c r="GI826" s="133"/>
      <c r="GJ826" s="133"/>
      <c r="GK826" s="133"/>
      <c r="GL826" s="133"/>
      <c r="GM826" s="133"/>
      <c r="GN826" s="133"/>
      <c r="GO826" s="133"/>
      <c r="GP826" s="133"/>
      <c r="GQ826" s="133"/>
      <c r="GR826" s="133"/>
      <c r="GS826" s="133"/>
      <c r="GT826" s="133"/>
      <c r="GU826" s="133"/>
      <c r="GV826" s="133"/>
      <c r="GW826" s="133"/>
      <c r="GX826" s="133"/>
      <c r="GY826" s="133"/>
      <c r="GZ826" s="133"/>
      <c r="HA826" s="133"/>
      <c r="HB826" s="133"/>
      <c r="HC826" s="133"/>
      <c r="HD826" s="133"/>
      <c r="HE826" s="133"/>
      <c r="HF826" s="133"/>
      <c r="HG826" s="133"/>
      <c r="HH826" s="133"/>
      <c r="HI826" s="133"/>
      <c r="HJ826" s="133"/>
      <c r="HK826" s="133"/>
      <c r="HL826" s="133"/>
      <c r="HM826" s="133"/>
      <c r="HN826" s="133"/>
      <c r="HO826" s="133"/>
      <c r="HP826" s="133"/>
      <c r="HQ826" s="133"/>
      <c r="HR826" s="133"/>
      <c r="HS826" s="133"/>
      <c r="HT826" s="133"/>
      <c r="HU826" s="133"/>
      <c r="HV826" s="133"/>
      <c r="HW826" s="133"/>
      <c r="HX826" s="133"/>
      <c r="HY826" s="133"/>
      <c r="HZ826" s="133"/>
      <c r="IA826" s="133"/>
      <c r="IB826" s="133"/>
      <c r="IC826" s="133"/>
      <c r="ID826" s="133"/>
      <c r="IE826" s="133"/>
      <c r="IF826" s="133"/>
      <c r="IG826" s="133"/>
      <c r="IH826" s="133"/>
      <c r="II826" s="133"/>
      <c r="IJ826" s="133"/>
      <c r="IK826" s="133"/>
      <c r="IL826" s="133"/>
      <c r="IM826" s="133"/>
      <c r="IN826" s="133"/>
      <c r="IO826" s="133"/>
      <c r="IP826" s="133"/>
      <c r="IQ826" s="133"/>
      <c r="IR826" s="133"/>
      <c r="IS826" s="133"/>
      <c r="IT826" s="133"/>
      <c r="IU826" s="133"/>
      <c r="IV826" s="133"/>
    </row>
    <row r="827" spans="1:256" s="132" customFormat="1" ht="13.8">
      <c r="A827" s="133"/>
      <c r="B827" s="133"/>
      <c r="C827" s="133"/>
      <c r="D827" s="133"/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GE827" s="133"/>
      <c r="GF827" s="133"/>
      <c r="GG827" s="133"/>
      <c r="GH827" s="133"/>
      <c r="GI827" s="133"/>
      <c r="GJ827" s="133"/>
      <c r="GK827" s="133"/>
      <c r="GL827" s="133"/>
      <c r="GM827" s="133"/>
      <c r="GN827" s="133"/>
      <c r="GO827" s="133"/>
      <c r="GP827" s="133"/>
      <c r="GQ827" s="133"/>
      <c r="GR827" s="133"/>
      <c r="GS827" s="133"/>
      <c r="GT827" s="133"/>
      <c r="GU827" s="133"/>
      <c r="GV827" s="133"/>
      <c r="GW827" s="133"/>
      <c r="GX827" s="133"/>
      <c r="GY827" s="133"/>
      <c r="GZ827" s="133"/>
      <c r="HA827" s="133"/>
      <c r="HB827" s="133"/>
      <c r="HC827" s="133"/>
      <c r="HD827" s="133"/>
      <c r="HE827" s="133"/>
      <c r="HF827" s="133"/>
      <c r="HG827" s="133"/>
      <c r="HH827" s="133"/>
      <c r="HI827" s="133"/>
      <c r="HJ827" s="133"/>
      <c r="HK827" s="133"/>
      <c r="HL827" s="133"/>
      <c r="HM827" s="133"/>
      <c r="HN827" s="133"/>
      <c r="HO827" s="133"/>
      <c r="HP827" s="133"/>
      <c r="HQ827" s="133"/>
      <c r="HR827" s="133"/>
      <c r="HS827" s="133"/>
      <c r="HT827" s="133"/>
      <c r="HU827" s="133"/>
      <c r="HV827" s="133"/>
      <c r="HW827" s="133"/>
      <c r="HX827" s="133"/>
      <c r="HY827" s="133"/>
      <c r="HZ827" s="133"/>
      <c r="IA827" s="133"/>
      <c r="IB827" s="133"/>
      <c r="IC827" s="133"/>
      <c r="ID827" s="133"/>
      <c r="IE827" s="133"/>
      <c r="IF827" s="133"/>
      <c r="IG827" s="133"/>
      <c r="IH827" s="133"/>
      <c r="II827" s="133"/>
      <c r="IJ827" s="133"/>
      <c r="IK827" s="133"/>
      <c r="IL827" s="133"/>
      <c r="IM827" s="133"/>
      <c r="IN827" s="133"/>
      <c r="IO827" s="133"/>
      <c r="IP827" s="133"/>
      <c r="IQ827" s="133"/>
      <c r="IR827" s="133"/>
      <c r="IS827" s="133"/>
      <c r="IT827" s="133"/>
      <c r="IU827" s="133"/>
      <c r="IV827" s="133"/>
    </row>
    <row r="828" spans="1:256" s="132" customFormat="1" ht="13.8">
      <c r="A828" s="133"/>
      <c r="B828" s="133"/>
      <c r="C828" s="133"/>
      <c r="D828" s="133"/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GE828" s="133"/>
      <c r="GF828" s="133"/>
      <c r="GG828" s="133"/>
      <c r="GH828" s="133"/>
      <c r="GI828" s="133"/>
      <c r="GJ828" s="133"/>
      <c r="GK828" s="133"/>
      <c r="GL828" s="133"/>
      <c r="GM828" s="133"/>
      <c r="GN828" s="133"/>
      <c r="GO828" s="133"/>
      <c r="GP828" s="133"/>
      <c r="GQ828" s="133"/>
      <c r="GR828" s="133"/>
      <c r="GS828" s="133"/>
      <c r="GT828" s="133"/>
      <c r="GU828" s="133"/>
      <c r="GV828" s="133"/>
      <c r="GW828" s="133"/>
      <c r="GX828" s="133"/>
      <c r="GY828" s="133"/>
      <c r="GZ828" s="133"/>
      <c r="HA828" s="133"/>
      <c r="HB828" s="133"/>
      <c r="HC828" s="133"/>
      <c r="HD828" s="133"/>
      <c r="HE828" s="133"/>
      <c r="HF828" s="133"/>
      <c r="HG828" s="133"/>
      <c r="HH828" s="133"/>
      <c r="HI828" s="133"/>
      <c r="HJ828" s="133"/>
      <c r="HK828" s="133"/>
      <c r="HL828" s="133"/>
      <c r="HM828" s="133"/>
      <c r="HN828" s="133"/>
      <c r="HO828" s="133"/>
      <c r="HP828" s="133"/>
      <c r="HQ828" s="133"/>
      <c r="HR828" s="133"/>
      <c r="HS828" s="133"/>
      <c r="HT828" s="133"/>
      <c r="HU828" s="133"/>
      <c r="HV828" s="133"/>
      <c r="HW828" s="133"/>
      <c r="HX828" s="133"/>
      <c r="HY828" s="133"/>
      <c r="HZ828" s="133"/>
      <c r="IA828" s="133"/>
      <c r="IB828" s="133"/>
      <c r="IC828" s="133"/>
      <c r="ID828" s="133"/>
      <c r="IE828" s="133"/>
      <c r="IF828" s="133"/>
      <c r="IG828" s="133"/>
      <c r="IH828" s="133"/>
      <c r="II828" s="133"/>
      <c r="IJ828" s="133"/>
      <c r="IK828" s="133"/>
      <c r="IL828" s="133"/>
      <c r="IM828" s="133"/>
      <c r="IN828" s="133"/>
      <c r="IO828" s="133"/>
      <c r="IP828" s="133"/>
      <c r="IQ828" s="133"/>
      <c r="IR828" s="133"/>
      <c r="IS828" s="133"/>
      <c r="IT828" s="133"/>
      <c r="IU828" s="133"/>
      <c r="IV828" s="133"/>
    </row>
    <row r="829" spans="1:256" s="132" customFormat="1" ht="13.8">
      <c r="A829" s="133"/>
      <c r="B829" s="133"/>
      <c r="C829" s="133"/>
      <c r="D829" s="133"/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GE829" s="133"/>
      <c r="GF829" s="133"/>
      <c r="GG829" s="133"/>
      <c r="GH829" s="133"/>
      <c r="GI829" s="133"/>
      <c r="GJ829" s="133"/>
      <c r="GK829" s="133"/>
      <c r="GL829" s="133"/>
      <c r="GM829" s="133"/>
      <c r="GN829" s="133"/>
      <c r="GO829" s="133"/>
      <c r="GP829" s="133"/>
      <c r="GQ829" s="133"/>
      <c r="GR829" s="133"/>
      <c r="GS829" s="133"/>
      <c r="GT829" s="133"/>
      <c r="GU829" s="133"/>
      <c r="GV829" s="133"/>
      <c r="GW829" s="133"/>
      <c r="GX829" s="133"/>
      <c r="GY829" s="133"/>
      <c r="GZ829" s="133"/>
      <c r="HA829" s="133"/>
      <c r="HB829" s="133"/>
      <c r="HC829" s="133"/>
      <c r="HD829" s="133"/>
      <c r="HE829" s="133"/>
      <c r="HF829" s="133"/>
      <c r="HG829" s="133"/>
      <c r="HH829" s="133"/>
      <c r="HI829" s="133"/>
      <c r="HJ829" s="133"/>
      <c r="HK829" s="133"/>
      <c r="HL829" s="133"/>
      <c r="HM829" s="133"/>
      <c r="HN829" s="133"/>
      <c r="HO829" s="133"/>
      <c r="HP829" s="133"/>
      <c r="HQ829" s="133"/>
      <c r="HR829" s="133"/>
      <c r="HS829" s="133"/>
      <c r="HT829" s="133"/>
      <c r="HU829" s="133"/>
      <c r="HV829" s="133"/>
      <c r="HW829" s="133"/>
      <c r="HX829" s="133"/>
      <c r="HY829" s="133"/>
      <c r="HZ829" s="133"/>
      <c r="IA829" s="133"/>
      <c r="IB829" s="133"/>
      <c r="IC829" s="133"/>
      <c r="ID829" s="133"/>
      <c r="IE829" s="133"/>
      <c r="IF829" s="133"/>
      <c r="IG829" s="133"/>
      <c r="IH829" s="133"/>
      <c r="II829" s="133"/>
      <c r="IJ829" s="133"/>
      <c r="IK829" s="133"/>
      <c r="IL829" s="133"/>
      <c r="IM829" s="133"/>
      <c r="IN829" s="133"/>
      <c r="IO829" s="133"/>
      <c r="IP829" s="133"/>
      <c r="IQ829" s="133"/>
      <c r="IR829" s="133"/>
      <c r="IS829" s="133"/>
      <c r="IT829" s="133"/>
      <c r="IU829" s="133"/>
      <c r="IV829" s="133"/>
    </row>
    <row r="830" spans="1:256" s="132" customFormat="1" ht="13.8">
      <c r="A830" s="133"/>
      <c r="B830" s="133"/>
      <c r="C830" s="133"/>
      <c r="D830" s="133"/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GE830" s="133"/>
      <c r="GF830" s="133"/>
      <c r="GG830" s="133"/>
      <c r="GH830" s="133"/>
      <c r="GI830" s="133"/>
      <c r="GJ830" s="133"/>
      <c r="GK830" s="133"/>
      <c r="GL830" s="133"/>
      <c r="GM830" s="133"/>
      <c r="GN830" s="133"/>
      <c r="GO830" s="133"/>
      <c r="GP830" s="133"/>
      <c r="GQ830" s="133"/>
      <c r="GR830" s="133"/>
      <c r="GS830" s="133"/>
      <c r="GT830" s="133"/>
      <c r="GU830" s="133"/>
      <c r="GV830" s="133"/>
      <c r="GW830" s="133"/>
      <c r="GX830" s="133"/>
      <c r="GY830" s="133"/>
      <c r="GZ830" s="133"/>
      <c r="HA830" s="133"/>
      <c r="HB830" s="133"/>
      <c r="HC830" s="133"/>
      <c r="HD830" s="133"/>
      <c r="HE830" s="133"/>
      <c r="HF830" s="133"/>
      <c r="HG830" s="133"/>
      <c r="HH830" s="133"/>
      <c r="HI830" s="133"/>
      <c r="HJ830" s="133"/>
      <c r="HK830" s="133"/>
      <c r="HL830" s="133"/>
      <c r="HM830" s="133"/>
      <c r="HN830" s="133"/>
      <c r="HO830" s="133"/>
      <c r="HP830" s="133"/>
      <c r="HQ830" s="133"/>
      <c r="HR830" s="133"/>
      <c r="HS830" s="133"/>
      <c r="HT830" s="133"/>
      <c r="HU830" s="133"/>
      <c r="HV830" s="133"/>
      <c r="HW830" s="133"/>
      <c r="HX830" s="133"/>
      <c r="HY830" s="133"/>
      <c r="HZ830" s="133"/>
      <c r="IA830" s="133"/>
      <c r="IB830" s="133"/>
      <c r="IC830" s="133"/>
      <c r="ID830" s="133"/>
      <c r="IE830" s="133"/>
      <c r="IF830" s="133"/>
      <c r="IG830" s="133"/>
      <c r="IH830" s="133"/>
      <c r="II830" s="133"/>
      <c r="IJ830" s="133"/>
      <c r="IK830" s="133"/>
      <c r="IL830" s="133"/>
      <c r="IM830" s="133"/>
      <c r="IN830" s="133"/>
      <c r="IO830" s="133"/>
      <c r="IP830" s="133"/>
      <c r="IQ830" s="133"/>
      <c r="IR830" s="133"/>
      <c r="IS830" s="133"/>
      <c r="IT830" s="133"/>
      <c r="IU830" s="133"/>
      <c r="IV830" s="133"/>
    </row>
    <row r="831" spans="1:256" s="132" customFormat="1" ht="13.8">
      <c r="A831" s="133"/>
      <c r="B831" s="133"/>
      <c r="C831" s="133"/>
      <c r="D831" s="133"/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GE831" s="133"/>
      <c r="GF831" s="133"/>
      <c r="GG831" s="133"/>
      <c r="GH831" s="133"/>
      <c r="GI831" s="133"/>
      <c r="GJ831" s="133"/>
      <c r="GK831" s="133"/>
      <c r="GL831" s="133"/>
      <c r="GM831" s="133"/>
      <c r="GN831" s="133"/>
      <c r="GO831" s="133"/>
      <c r="GP831" s="133"/>
      <c r="GQ831" s="133"/>
      <c r="GR831" s="133"/>
      <c r="GS831" s="133"/>
      <c r="GT831" s="133"/>
      <c r="GU831" s="133"/>
      <c r="GV831" s="133"/>
      <c r="GW831" s="133"/>
      <c r="GX831" s="133"/>
      <c r="GY831" s="133"/>
      <c r="GZ831" s="133"/>
      <c r="HA831" s="133"/>
      <c r="HB831" s="133"/>
      <c r="HC831" s="133"/>
      <c r="HD831" s="133"/>
      <c r="HE831" s="133"/>
      <c r="HF831" s="133"/>
      <c r="HG831" s="133"/>
      <c r="HH831" s="133"/>
      <c r="HI831" s="133"/>
      <c r="HJ831" s="133"/>
      <c r="HK831" s="133"/>
      <c r="HL831" s="133"/>
      <c r="HM831" s="133"/>
      <c r="HN831" s="133"/>
      <c r="HO831" s="133"/>
      <c r="HP831" s="133"/>
      <c r="HQ831" s="133"/>
      <c r="HR831" s="133"/>
      <c r="HS831" s="133"/>
      <c r="HT831" s="133"/>
      <c r="HU831" s="133"/>
      <c r="HV831" s="133"/>
      <c r="HW831" s="133"/>
      <c r="HX831" s="133"/>
      <c r="HY831" s="133"/>
      <c r="HZ831" s="133"/>
      <c r="IA831" s="133"/>
      <c r="IB831" s="133"/>
      <c r="IC831" s="133"/>
      <c r="ID831" s="133"/>
      <c r="IE831" s="133"/>
      <c r="IF831" s="133"/>
      <c r="IG831" s="133"/>
      <c r="IH831" s="133"/>
      <c r="II831" s="133"/>
      <c r="IJ831" s="133"/>
      <c r="IK831" s="133"/>
      <c r="IL831" s="133"/>
      <c r="IM831" s="133"/>
      <c r="IN831" s="133"/>
      <c r="IO831" s="133"/>
      <c r="IP831" s="133"/>
      <c r="IQ831" s="133"/>
      <c r="IR831" s="133"/>
      <c r="IS831" s="133"/>
      <c r="IT831" s="133"/>
      <c r="IU831" s="133"/>
      <c r="IV831" s="133"/>
    </row>
    <row r="832" spans="1:256" s="132" customFormat="1" ht="13.8">
      <c r="A832" s="133"/>
      <c r="B832" s="133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GE832" s="133"/>
      <c r="GF832" s="133"/>
      <c r="GG832" s="133"/>
      <c r="GH832" s="133"/>
      <c r="GI832" s="133"/>
      <c r="GJ832" s="133"/>
      <c r="GK832" s="133"/>
      <c r="GL832" s="133"/>
      <c r="GM832" s="133"/>
      <c r="GN832" s="133"/>
      <c r="GO832" s="133"/>
      <c r="GP832" s="133"/>
      <c r="GQ832" s="133"/>
      <c r="GR832" s="133"/>
      <c r="GS832" s="133"/>
      <c r="GT832" s="133"/>
      <c r="GU832" s="133"/>
      <c r="GV832" s="133"/>
      <c r="GW832" s="133"/>
      <c r="GX832" s="133"/>
      <c r="GY832" s="133"/>
      <c r="GZ832" s="133"/>
      <c r="HA832" s="133"/>
      <c r="HB832" s="133"/>
      <c r="HC832" s="133"/>
      <c r="HD832" s="133"/>
      <c r="HE832" s="133"/>
      <c r="HF832" s="133"/>
      <c r="HG832" s="133"/>
      <c r="HH832" s="133"/>
      <c r="HI832" s="133"/>
      <c r="HJ832" s="133"/>
      <c r="HK832" s="133"/>
      <c r="HL832" s="133"/>
      <c r="HM832" s="133"/>
      <c r="HN832" s="133"/>
      <c r="HO832" s="133"/>
      <c r="HP832" s="133"/>
      <c r="HQ832" s="133"/>
      <c r="HR832" s="133"/>
      <c r="HS832" s="133"/>
      <c r="HT832" s="133"/>
      <c r="HU832" s="133"/>
      <c r="HV832" s="133"/>
      <c r="HW832" s="133"/>
      <c r="HX832" s="133"/>
      <c r="HY832" s="133"/>
      <c r="HZ832" s="133"/>
      <c r="IA832" s="133"/>
      <c r="IB832" s="133"/>
      <c r="IC832" s="133"/>
      <c r="ID832" s="133"/>
      <c r="IE832" s="133"/>
      <c r="IF832" s="133"/>
      <c r="IG832" s="133"/>
      <c r="IH832" s="133"/>
      <c r="II832" s="133"/>
      <c r="IJ832" s="133"/>
      <c r="IK832" s="133"/>
      <c r="IL832" s="133"/>
      <c r="IM832" s="133"/>
      <c r="IN832" s="133"/>
      <c r="IO832" s="133"/>
      <c r="IP832" s="133"/>
      <c r="IQ832" s="133"/>
      <c r="IR832" s="133"/>
      <c r="IS832" s="133"/>
      <c r="IT832" s="133"/>
      <c r="IU832" s="133"/>
      <c r="IV832" s="133"/>
    </row>
    <row r="833" spans="1:256" s="132" customFormat="1" ht="13.8">
      <c r="A833" s="133"/>
      <c r="B833" s="133"/>
      <c r="C833" s="133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GE833" s="133"/>
      <c r="GF833" s="133"/>
      <c r="GG833" s="133"/>
      <c r="GH833" s="133"/>
      <c r="GI833" s="133"/>
      <c r="GJ833" s="133"/>
      <c r="GK833" s="133"/>
      <c r="GL833" s="133"/>
      <c r="GM833" s="133"/>
      <c r="GN833" s="133"/>
      <c r="GO833" s="133"/>
      <c r="GP833" s="133"/>
      <c r="GQ833" s="133"/>
      <c r="GR833" s="133"/>
      <c r="GS833" s="133"/>
      <c r="GT833" s="133"/>
      <c r="GU833" s="133"/>
      <c r="GV833" s="133"/>
      <c r="GW833" s="133"/>
      <c r="GX833" s="133"/>
      <c r="GY833" s="133"/>
      <c r="GZ833" s="133"/>
      <c r="HA833" s="133"/>
      <c r="HB833" s="133"/>
      <c r="HC833" s="133"/>
      <c r="HD833" s="133"/>
      <c r="HE833" s="133"/>
      <c r="HF833" s="133"/>
      <c r="HG833" s="133"/>
      <c r="HH833" s="133"/>
      <c r="HI833" s="133"/>
      <c r="HJ833" s="133"/>
      <c r="HK833" s="133"/>
      <c r="HL833" s="133"/>
      <c r="HM833" s="133"/>
      <c r="HN833" s="133"/>
      <c r="HO833" s="133"/>
      <c r="HP833" s="133"/>
      <c r="HQ833" s="133"/>
      <c r="HR833" s="133"/>
      <c r="HS833" s="133"/>
      <c r="HT833" s="133"/>
      <c r="HU833" s="133"/>
      <c r="HV833" s="133"/>
      <c r="HW833" s="133"/>
      <c r="HX833" s="133"/>
      <c r="HY833" s="133"/>
      <c r="HZ833" s="133"/>
      <c r="IA833" s="133"/>
      <c r="IB833" s="133"/>
      <c r="IC833" s="133"/>
      <c r="ID833" s="133"/>
      <c r="IE833" s="133"/>
      <c r="IF833" s="133"/>
      <c r="IG833" s="133"/>
      <c r="IH833" s="133"/>
      <c r="II833" s="133"/>
      <c r="IJ833" s="133"/>
      <c r="IK833" s="133"/>
      <c r="IL833" s="133"/>
      <c r="IM833" s="133"/>
      <c r="IN833" s="133"/>
      <c r="IO833" s="133"/>
      <c r="IP833" s="133"/>
      <c r="IQ833" s="133"/>
      <c r="IR833" s="133"/>
      <c r="IS833" s="133"/>
      <c r="IT833" s="133"/>
      <c r="IU833" s="133"/>
      <c r="IV833" s="133"/>
    </row>
    <row r="834" spans="1:256" s="132" customFormat="1" ht="13.8">
      <c r="A834" s="133"/>
      <c r="B834" s="133"/>
      <c r="C834" s="133"/>
      <c r="D834" s="133"/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GE834" s="133"/>
      <c r="GF834" s="133"/>
      <c r="GG834" s="133"/>
      <c r="GH834" s="133"/>
      <c r="GI834" s="133"/>
      <c r="GJ834" s="133"/>
      <c r="GK834" s="133"/>
      <c r="GL834" s="133"/>
      <c r="GM834" s="133"/>
      <c r="GN834" s="133"/>
      <c r="GO834" s="133"/>
      <c r="GP834" s="133"/>
      <c r="GQ834" s="133"/>
      <c r="GR834" s="133"/>
      <c r="GS834" s="133"/>
      <c r="GT834" s="133"/>
      <c r="GU834" s="133"/>
      <c r="GV834" s="133"/>
      <c r="GW834" s="133"/>
      <c r="GX834" s="133"/>
      <c r="GY834" s="133"/>
      <c r="GZ834" s="133"/>
      <c r="HA834" s="133"/>
      <c r="HB834" s="133"/>
      <c r="HC834" s="133"/>
      <c r="HD834" s="133"/>
      <c r="HE834" s="133"/>
      <c r="HF834" s="133"/>
      <c r="HG834" s="133"/>
      <c r="HH834" s="133"/>
      <c r="HI834" s="133"/>
      <c r="HJ834" s="133"/>
      <c r="HK834" s="133"/>
      <c r="HL834" s="133"/>
      <c r="HM834" s="133"/>
      <c r="HN834" s="133"/>
      <c r="HO834" s="133"/>
      <c r="HP834" s="133"/>
      <c r="HQ834" s="133"/>
      <c r="HR834" s="133"/>
      <c r="HS834" s="133"/>
      <c r="HT834" s="133"/>
      <c r="HU834" s="133"/>
      <c r="HV834" s="133"/>
      <c r="HW834" s="133"/>
      <c r="HX834" s="133"/>
      <c r="HY834" s="133"/>
      <c r="HZ834" s="133"/>
      <c r="IA834" s="133"/>
      <c r="IB834" s="133"/>
      <c r="IC834" s="133"/>
      <c r="ID834" s="133"/>
      <c r="IE834" s="133"/>
      <c r="IF834" s="133"/>
      <c r="IG834" s="133"/>
      <c r="IH834" s="133"/>
      <c r="II834" s="133"/>
      <c r="IJ834" s="133"/>
      <c r="IK834" s="133"/>
      <c r="IL834" s="133"/>
      <c r="IM834" s="133"/>
      <c r="IN834" s="133"/>
      <c r="IO834" s="133"/>
      <c r="IP834" s="133"/>
      <c r="IQ834" s="133"/>
      <c r="IR834" s="133"/>
      <c r="IS834" s="133"/>
      <c r="IT834" s="133"/>
      <c r="IU834" s="133"/>
      <c r="IV834" s="133"/>
    </row>
    <row r="835" spans="1:256" s="132" customFormat="1" ht="13.8">
      <c r="A835" s="133"/>
      <c r="B835" s="133"/>
      <c r="C835" s="133"/>
      <c r="D835" s="133"/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GE835" s="133"/>
      <c r="GF835" s="133"/>
      <c r="GG835" s="133"/>
      <c r="GH835" s="133"/>
      <c r="GI835" s="133"/>
      <c r="GJ835" s="133"/>
      <c r="GK835" s="133"/>
      <c r="GL835" s="133"/>
      <c r="GM835" s="133"/>
      <c r="GN835" s="133"/>
      <c r="GO835" s="133"/>
      <c r="GP835" s="133"/>
      <c r="GQ835" s="133"/>
      <c r="GR835" s="133"/>
      <c r="GS835" s="133"/>
      <c r="GT835" s="133"/>
      <c r="GU835" s="133"/>
      <c r="GV835" s="133"/>
      <c r="GW835" s="133"/>
      <c r="GX835" s="133"/>
      <c r="GY835" s="133"/>
      <c r="GZ835" s="133"/>
      <c r="HA835" s="133"/>
      <c r="HB835" s="133"/>
      <c r="HC835" s="133"/>
      <c r="HD835" s="133"/>
      <c r="HE835" s="133"/>
      <c r="HF835" s="133"/>
      <c r="HG835" s="133"/>
      <c r="HH835" s="133"/>
      <c r="HI835" s="133"/>
      <c r="HJ835" s="133"/>
      <c r="HK835" s="133"/>
      <c r="HL835" s="133"/>
      <c r="HM835" s="133"/>
      <c r="HN835" s="133"/>
      <c r="HO835" s="133"/>
      <c r="HP835" s="133"/>
      <c r="HQ835" s="133"/>
      <c r="HR835" s="133"/>
      <c r="HS835" s="133"/>
      <c r="HT835" s="133"/>
      <c r="HU835" s="133"/>
      <c r="HV835" s="133"/>
      <c r="HW835" s="133"/>
      <c r="HX835" s="133"/>
      <c r="HY835" s="133"/>
      <c r="HZ835" s="133"/>
      <c r="IA835" s="133"/>
      <c r="IB835" s="133"/>
      <c r="IC835" s="133"/>
      <c r="ID835" s="133"/>
      <c r="IE835" s="133"/>
      <c r="IF835" s="133"/>
      <c r="IG835" s="133"/>
      <c r="IH835" s="133"/>
      <c r="II835" s="133"/>
      <c r="IJ835" s="133"/>
      <c r="IK835" s="133"/>
      <c r="IL835" s="133"/>
      <c r="IM835" s="133"/>
      <c r="IN835" s="133"/>
      <c r="IO835" s="133"/>
      <c r="IP835" s="133"/>
      <c r="IQ835" s="133"/>
      <c r="IR835" s="133"/>
      <c r="IS835" s="133"/>
      <c r="IT835" s="133"/>
      <c r="IU835" s="133"/>
      <c r="IV835" s="133"/>
    </row>
    <row r="836" spans="1:256" s="132" customFormat="1" ht="13.8">
      <c r="A836" s="133"/>
      <c r="B836" s="133"/>
      <c r="C836" s="133"/>
      <c r="D836" s="133"/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GE836" s="133"/>
      <c r="GF836" s="133"/>
      <c r="GG836" s="133"/>
      <c r="GH836" s="133"/>
      <c r="GI836" s="133"/>
      <c r="GJ836" s="133"/>
      <c r="GK836" s="133"/>
      <c r="GL836" s="133"/>
      <c r="GM836" s="133"/>
      <c r="GN836" s="133"/>
      <c r="GO836" s="133"/>
      <c r="GP836" s="133"/>
      <c r="GQ836" s="133"/>
      <c r="GR836" s="133"/>
      <c r="GS836" s="133"/>
      <c r="GT836" s="133"/>
      <c r="GU836" s="133"/>
      <c r="GV836" s="133"/>
      <c r="GW836" s="133"/>
      <c r="GX836" s="133"/>
      <c r="GY836" s="133"/>
      <c r="GZ836" s="133"/>
      <c r="HA836" s="133"/>
      <c r="HB836" s="133"/>
      <c r="HC836" s="133"/>
      <c r="HD836" s="133"/>
      <c r="HE836" s="133"/>
      <c r="HF836" s="133"/>
      <c r="HG836" s="133"/>
      <c r="HH836" s="133"/>
      <c r="HI836" s="133"/>
      <c r="HJ836" s="133"/>
      <c r="HK836" s="133"/>
      <c r="HL836" s="133"/>
      <c r="HM836" s="133"/>
      <c r="HN836" s="133"/>
      <c r="HO836" s="133"/>
      <c r="HP836" s="133"/>
      <c r="HQ836" s="133"/>
      <c r="HR836" s="133"/>
      <c r="HS836" s="133"/>
      <c r="HT836" s="133"/>
      <c r="HU836" s="133"/>
      <c r="HV836" s="133"/>
      <c r="HW836" s="133"/>
      <c r="HX836" s="133"/>
      <c r="HY836" s="133"/>
      <c r="HZ836" s="133"/>
      <c r="IA836" s="133"/>
      <c r="IB836" s="133"/>
      <c r="IC836" s="133"/>
      <c r="ID836" s="133"/>
      <c r="IE836" s="133"/>
      <c r="IF836" s="133"/>
      <c r="IG836" s="133"/>
      <c r="IH836" s="133"/>
      <c r="II836" s="133"/>
      <c r="IJ836" s="133"/>
      <c r="IK836" s="133"/>
      <c r="IL836" s="133"/>
      <c r="IM836" s="133"/>
      <c r="IN836" s="133"/>
      <c r="IO836" s="133"/>
      <c r="IP836" s="133"/>
      <c r="IQ836" s="133"/>
      <c r="IR836" s="133"/>
      <c r="IS836" s="133"/>
      <c r="IT836" s="133"/>
      <c r="IU836" s="133"/>
      <c r="IV836" s="133"/>
    </row>
    <row r="837" spans="1:256" s="132" customFormat="1" ht="13.8">
      <c r="A837" s="133"/>
      <c r="B837" s="133"/>
      <c r="C837" s="133"/>
      <c r="D837" s="133"/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GE837" s="133"/>
      <c r="GF837" s="133"/>
      <c r="GG837" s="133"/>
      <c r="GH837" s="133"/>
      <c r="GI837" s="133"/>
      <c r="GJ837" s="133"/>
      <c r="GK837" s="133"/>
      <c r="GL837" s="133"/>
      <c r="GM837" s="133"/>
      <c r="GN837" s="133"/>
      <c r="GO837" s="133"/>
      <c r="GP837" s="133"/>
      <c r="GQ837" s="133"/>
      <c r="GR837" s="133"/>
      <c r="GS837" s="133"/>
      <c r="GT837" s="133"/>
      <c r="GU837" s="133"/>
      <c r="GV837" s="133"/>
      <c r="GW837" s="133"/>
      <c r="GX837" s="133"/>
      <c r="GY837" s="133"/>
      <c r="GZ837" s="133"/>
      <c r="HA837" s="133"/>
      <c r="HB837" s="133"/>
      <c r="HC837" s="133"/>
      <c r="HD837" s="133"/>
      <c r="HE837" s="133"/>
      <c r="HF837" s="133"/>
      <c r="HG837" s="133"/>
      <c r="HH837" s="133"/>
      <c r="HI837" s="133"/>
      <c r="HJ837" s="133"/>
      <c r="HK837" s="133"/>
      <c r="HL837" s="133"/>
      <c r="HM837" s="133"/>
      <c r="HN837" s="133"/>
      <c r="HO837" s="133"/>
      <c r="HP837" s="133"/>
      <c r="HQ837" s="133"/>
      <c r="HR837" s="133"/>
      <c r="HS837" s="133"/>
      <c r="HT837" s="133"/>
      <c r="HU837" s="133"/>
      <c r="HV837" s="133"/>
      <c r="HW837" s="133"/>
      <c r="HX837" s="133"/>
      <c r="HY837" s="133"/>
      <c r="HZ837" s="133"/>
      <c r="IA837" s="133"/>
      <c r="IB837" s="133"/>
      <c r="IC837" s="133"/>
      <c r="ID837" s="133"/>
      <c r="IE837" s="133"/>
      <c r="IF837" s="133"/>
      <c r="IG837" s="133"/>
      <c r="IH837" s="133"/>
      <c r="II837" s="133"/>
      <c r="IJ837" s="133"/>
      <c r="IK837" s="133"/>
      <c r="IL837" s="133"/>
      <c r="IM837" s="133"/>
      <c r="IN837" s="133"/>
      <c r="IO837" s="133"/>
      <c r="IP837" s="133"/>
      <c r="IQ837" s="133"/>
      <c r="IR837" s="133"/>
      <c r="IS837" s="133"/>
      <c r="IT837" s="133"/>
      <c r="IU837" s="133"/>
      <c r="IV837" s="133"/>
    </row>
    <row r="838" spans="1:256" s="132" customFormat="1" ht="13.8">
      <c r="A838" s="133"/>
      <c r="B838" s="133"/>
      <c r="C838" s="133"/>
      <c r="D838" s="133"/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GE838" s="133"/>
      <c r="GF838" s="133"/>
      <c r="GG838" s="133"/>
      <c r="GH838" s="133"/>
      <c r="GI838" s="133"/>
      <c r="GJ838" s="133"/>
      <c r="GK838" s="133"/>
      <c r="GL838" s="133"/>
      <c r="GM838" s="133"/>
      <c r="GN838" s="133"/>
      <c r="GO838" s="133"/>
      <c r="GP838" s="133"/>
      <c r="GQ838" s="133"/>
      <c r="GR838" s="133"/>
      <c r="GS838" s="133"/>
      <c r="GT838" s="133"/>
      <c r="GU838" s="133"/>
      <c r="GV838" s="133"/>
      <c r="GW838" s="133"/>
      <c r="GX838" s="133"/>
      <c r="GY838" s="133"/>
      <c r="GZ838" s="133"/>
      <c r="HA838" s="133"/>
      <c r="HB838" s="133"/>
      <c r="HC838" s="133"/>
      <c r="HD838" s="133"/>
      <c r="HE838" s="133"/>
      <c r="HF838" s="133"/>
      <c r="HG838" s="133"/>
      <c r="HH838" s="133"/>
      <c r="HI838" s="133"/>
      <c r="HJ838" s="133"/>
      <c r="HK838" s="133"/>
      <c r="HL838" s="133"/>
      <c r="HM838" s="133"/>
      <c r="HN838" s="133"/>
      <c r="HO838" s="133"/>
      <c r="HP838" s="133"/>
      <c r="HQ838" s="133"/>
      <c r="HR838" s="133"/>
      <c r="HS838" s="133"/>
      <c r="HT838" s="133"/>
      <c r="HU838" s="133"/>
      <c r="HV838" s="133"/>
      <c r="HW838" s="133"/>
      <c r="HX838" s="133"/>
      <c r="HY838" s="133"/>
      <c r="HZ838" s="133"/>
      <c r="IA838" s="133"/>
      <c r="IB838" s="133"/>
      <c r="IC838" s="133"/>
      <c r="ID838" s="133"/>
      <c r="IE838" s="133"/>
      <c r="IF838" s="133"/>
      <c r="IG838" s="133"/>
      <c r="IH838" s="133"/>
      <c r="II838" s="133"/>
      <c r="IJ838" s="133"/>
      <c r="IK838" s="133"/>
      <c r="IL838" s="133"/>
      <c r="IM838" s="133"/>
      <c r="IN838" s="133"/>
      <c r="IO838" s="133"/>
      <c r="IP838" s="133"/>
      <c r="IQ838" s="133"/>
      <c r="IR838" s="133"/>
      <c r="IS838" s="133"/>
      <c r="IT838" s="133"/>
      <c r="IU838" s="133"/>
      <c r="IV838" s="133"/>
    </row>
    <row r="839" spans="1:256" s="132" customFormat="1" ht="13.8">
      <c r="A839" s="133"/>
      <c r="B839" s="133"/>
      <c r="C839" s="133"/>
      <c r="D839" s="133"/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GE839" s="133"/>
      <c r="GF839" s="133"/>
      <c r="GG839" s="133"/>
      <c r="GH839" s="133"/>
      <c r="GI839" s="133"/>
      <c r="GJ839" s="133"/>
      <c r="GK839" s="133"/>
      <c r="GL839" s="133"/>
      <c r="GM839" s="133"/>
      <c r="GN839" s="133"/>
      <c r="GO839" s="133"/>
      <c r="GP839" s="133"/>
      <c r="GQ839" s="133"/>
      <c r="GR839" s="133"/>
      <c r="GS839" s="133"/>
      <c r="GT839" s="133"/>
      <c r="GU839" s="133"/>
      <c r="GV839" s="133"/>
      <c r="GW839" s="133"/>
      <c r="GX839" s="133"/>
      <c r="GY839" s="133"/>
      <c r="GZ839" s="133"/>
      <c r="HA839" s="133"/>
      <c r="HB839" s="133"/>
      <c r="HC839" s="133"/>
      <c r="HD839" s="133"/>
      <c r="HE839" s="133"/>
      <c r="HF839" s="133"/>
      <c r="HG839" s="133"/>
      <c r="HH839" s="133"/>
      <c r="HI839" s="133"/>
      <c r="HJ839" s="133"/>
      <c r="HK839" s="133"/>
      <c r="HL839" s="133"/>
      <c r="HM839" s="133"/>
      <c r="HN839" s="133"/>
      <c r="HO839" s="133"/>
      <c r="HP839" s="133"/>
      <c r="HQ839" s="133"/>
      <c r="HR839" s="133"/>
      <c r="HS839" s="133"/>
      <c r="HT839" s="133"/>
      <c r="HU839" s="133"/>
      <c r="HV839" s="133"/>
      <c r="HW839" s="133"/>
      <c r="HX839" s="133"/>
      <c r="HY839" s="133"/>
      <c r="HZ839" s="133"/>
      <c r="IA839" s="133"/>
      <c r="IB839" s="133"/>
      <c r="IC839" s="133"/>
      <c r="ID839" s="133"/>
      <c r="IE839" s="133"/>
      <c r="IF839" s="133"/>
      <c r="IG839" s="133"/>
      <c r="IH839" s="133"/>
      <c r="II839" s="133"/>
      <c r="IJ839" s="133"/>
      <c r="IK839" s="133"/>
      <c r="IL839" s="133"/>
      <c r="IM839" s="133"/>
      <c r="IN839" s="133"/>
      <c r="IO839" s="133"/>
      <c r="IP839" s="133"/>
      <c r="IQ839" s="133"/>
      <c r="IR839" s="133"/>
      <c r="IS839" s="133"/>
      <c r="IT839" s="133"/>
      <c r="IU839" s="133"/>
      <c r="IV839" s="133"/>
    </row>
    <row r="840" spans="1:256" s="132" customFormat="1" ht="13.8">
      <c r="A840" s="133"/>
      <c r="B840" s="133"/>
      <c r="C840" s="133"/>
      <c r="D840" s="133"/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GE840" s="133"/>
      <c r="GF840" s="133"/>
      <c r="GG840" s="133"/>
      <c r="GH840" s="133"/>
      <c r="GI840" s="133"/>
      <c r="GJ840" s="133"/>
      <c r="GK840" s="133"/>
      <c r="GL840" s="133"/>
      <c r="GM840" s="133"/>
      <c r="GN840" s="133"/>
      <c r="GO840" s="133"/>
      <c r="GP840" s="133"/>
      <c r="GQ840" s="133"/>
      <c r="GR840" s="133"/>
      <c r="GS840" s="133"/>
      <c r="GT840" s="133"/>
      <c r="GU840" s="133"/>
      <c r="GV840" s="133"/>
      <c r="GW840" s="133"/>
      <c r="GX840" s="133"/>
      <c r="GY840" s="133"/>
      <c r="GZ840" s="133"/>
      <c r="HA840" s="133"/>
      <c r="HB840" s="133"/>
      <c r="HC840" s="133"/>
      <c r="HD840" s="133"/>
      <c r="HE840" s="133"/>
      <c r="HF840" s="133"/>
      <c r="HG840" s="133"/>
      <c r="HH840" s="133"/>
      <c r="HI840" s="133"/>
      <c r="HJ840" s="133"/>
      <c r="HK840" s="133"/>
      <c r="HL840" s="133"/>
      <c r="HM840" s="133"/>
      <c r="HN840" s="133"/>
      <c r="HO840" s="133"/>
      <c r="HP840" s="133"/>
      <c r="HQ840" s="133"/>
      <c r="HR840" s="133"/>
      <c r="HS840" s="133"/>
      <c r="HT840" s="133"/>
      <c r="HU840" s="133"/>
      <c r="HV840" s="133"/>
      <c r="HW840" s="133"/>
      <c r="HX840" s="133"/>
      <c r="HY840" s="133"/>
      <c r="HZ840" s="133"/>
      <c r="IA840" s="133"/>
      <c r="IB840" s="133"/>
      <c r="IC840" s="133"/>
      <c r="ID840" s="133"/>
      <c r="IE840" s="133"/>
      <c r="IF840" s="133"/>
      <c r="IG840" s="133"/>
      <c r="IH840" s="133"/>
      <c r="II840" s="133"/>
      <c r="IJ840" s="133"/>
      <c r="IK840" s="133"/>
      <c r="IL840" s="133"/>
      <c r="IM840" s="133"/>
      <c r="IN840" s="133"/>
      <c r="IO840" s="133"/>
      <c r="IP840" s="133"/>
      <c r="IQ840" s="133"/>
      <c r="IR840" s="133"/>
      <c r="IS840" s="133"/>
      <c r="IT840" s="133"/>
      <c r="IU840" s="133"/>
      <c r="IV840" s="133"/>
    </row>
    <row r="841" spans="1:256" s="132" customFormat="1" ht="13.8">
      <c r="A841" s="133"/>
      <c r="B841" s="133"/>
      <c r="C841" s="133"/>
      <c r="D841" s="133"/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GE841" s="133"/>
      <c r="GF841" s="133"/>
      <c r="GG841" s="133"/>
      <c r="GH841" s="133"/>
      <c r="GI841" s="133"/>
      <c r="GJ841" s="133"/>
      <c r="GK841" s="133"/>
      <c r="GL841" s="133"/>
      <c r="GM841" s="133"/>
      <c r="GN841" s="133"/>
      <c r="GO841" s="133"/>
      <c r="GP841" s="133"/>
      <c r="GQ841" s="133"/>
      <c r="GR841" s="133"/>
      <c r="GS841" s="133"/>
      <c r="GT841" s="133"/>
      <c r="GU841" s="133"/>
      <c r="GV841" s="133"/>
      <c r="GW841" s="133"/>
      <c r="GX841" s="133"/>
      <c r="GY841" s="133"/>
      <c r="GZ841" s="133"/>
      <c r="HA841" s="133"/>
      <c r="HB841" s="133"/>
      <c r="HC841" s="133"/>
      <c r="HD841" s="133"/>
      <c r="HE841" s="133"/>
      <c r="HF841" s="133"/>
      <c r="HG841" s="133"/>
      <c r="HH841" s="133"/>
      <c r="HI841" s="133"/>
      <c r="HJ841" s="133"/>
      <c r="HK841" s="133"/>
      <c r="HL841" s="133"/>
      <c r="HM841" s="133"/>
      <c r="HN841" s="133"/>
      <c r="HO841" s="133"/>
      <c r="HP841" s="133"/>
      <c r="HQ841" s="133"/>
      <c r="HR841" s="133"/>
      <c r="HS841" s="133"/>
      <c r="HT841" s="133"/>
      <c r="HU841" s="133"/>
      <c r="HV841" s="133"/>
      <c r="HW841" s="133"/>
      <c r="HX841" s="133"/>
      <c r="HY841" s="133"/>
      <c r="HZ841" s="133"/>
      <c r="IA841" s="133"/>
      <c r="IB841" s="133"/>
      <c r="IC841" s="133"/>
      <c r="ID841" s="133"/>
      <c r="IE841" s="133"/>
      <c r="IF841" s="133"/>
      <c r="IG841" s="133"/>
      <c r="IH841" s="133"/>
      <c r="II841" s="133"/>
      <c r="IJ841" s="133"/>
      <c r="IK841" s="133"/>
      <c r="IL841" s="133"/>
      <c r="IM841" s="133"/>
      <c r="IN841" s="133"/>
      <c r="IO841" s="133"/>
      <c r="IP841" s="133"/>
      <c r="IQ841" s="133"/>
      <c r="IR841" s="133"/>
      <c r="IS841" s="133"/>
      <c r="IT841" s="133"/>
      <c r="IU841" s="133"/>
      <c r="IV841" s="133"/>
    </row>
    <row r="842" spans="1:256" s="132" customFormat="1" ht="13.8">
      <c r="A842" s="133"/>
      <c r="B842" s="133"/>
      <c r="C842" s="133"/>
      <c r="D842" s="133"/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GE842" s="133"/>
      <c r="GF842" s="133"/>
      <c r="GG842" s="133"/>
      <c r="GH842" s="133"/>
      <c r="GI842" s="133"/>
      <c r="GJ842" s="133"/>
      <c r="GK842" s="133"/>
      <c r="GL842" s="133"/>
      <c r="GM842" s="133"/>
      <c r="GN842" s="133"/>
      <c r="GO842" s="133"/>
      <c r="GP842" s="133"/>
      <c r="GQ842" s="133"/>
      <c r="GR842" s="133"/>
      <c r="GS842" s="133"/>
      <c r="GT842" s="133"/>
      <c r="GU842" s="133"/>
      <c r="GV842" s="133"/>
      <c r="GW842" s="133"/>
      <c r="GX842" s="133"/>
      <c r="GY842" s="133"/>
      <c r="GZ842" s="133"/>
      <c r="HA842" s="133"/>
      <c r="HB842" s="133"/>
      <c r="HC842" s="133"/>
      <c r="HD842" s="133"/>
      <c r="HE842" s="133"/>
      <c r="HF842" s="133"/>
      <c r="HG842" s="133"/>
      <c r="HH842" s="133"/>
      <c r="HI842" s="133"/>
      <c r="HJ842" s="133"/>
      <c r="HK842" s="133"/>
      <c r="HL842" s="133"/>
      <c r="HM842" s="133"/>
      <c r="HN842" s="133"/>
      <c r="HO842" s="133"/>
      <c r="HP842" s="133"/>
      <c r="HQ842" s="133"/>
      <c r="HR842" s="133"/>
      <c r="HS842" s="133"/>
      <c r="HT842" s="133"/>
      <c r="HU842" s="133"/>
      <c r="HV842" s="133"/>
      <c r="HW842" s="133"/>
      <c r="HX842" s="133"/>
      <c r="HY842" s="133"/>
      <c r="HZ842" s="133"/>
      <c r="IA842" s="133"/>
      <c r="IB842" s="133"/>
      <c r="IC842" s="133"/>
      <c r="ID842" s="133"/>
      <c r="IE842" s="133"/>
      <c r="IF842" s="133"/>
      <c r="IG842" s="133"/>
      <c r="IH842" s="133"/>
      <c r="II842" s="133"/>
      <c r="IJ842" s="133"/>
      <c r="IK842" s="133"/>
      <c r="IL842" s="133"/>
      <c r="IM842" s="133"/>
      <c r="IN842" s="133"/>
      <c r="IO842" s="133"/>
      <c r="IP842" s="133"/>
      <c r="IQ842" s="133"/>
      <c r="IR842" s="133"/>
      <c r="IS842" s="133"/>
      <c r="IT842" s="133"/>
      <c r="IU842" s="133"/>
      <c r="IV842" s="133"/>
    </row>
    <row r="843" spans="1:256" s="132" customFormat="1" ht="13.8">
      <c r="A843" s="133"/>
      <c r="B843" s="133"/>
      <c r="C843" s="133"/>
      <c r="D843" s="133"/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GE843" s="133"/>
      <c r="GF843" s="133"/>
      <c r="GG843" s="133"/>
      <c r="GH843" s="133"/>
      <c r="GI843" s="133"/>
      <c r="GJ843" s="133"/>
      <c r="GK843" s="133"/>
      <c r="GL843" s="133"/>
      <c r="GM843" s="133"/>
      <c r="GN843" s="133"/>
      <c r="GO843" s="133"/>
      <c r="GP843" s="133"/>
      <c r="GQ843" s="133"/>
      <c r="GR843" s="133"/>
      <c r="GS843" s="133"/>
      <c r="GT843" s="133"/>
      <c r="GU843" s="133"/>
      <c r="GV843" s="133"/>
      <c r="GW843" s="133"/>
      <c r="GX843" s="133"/>
      <c r="GY843" s="133"/>
      <c r="GZ843" s="133"/>
      <c r="HA843" s="133"/>
      <c r="HB843" s="133"/>
      <c r="HC843" s="133"/>
      <c r="HD843" s="133"/>
      <c r="HE843" s="133"/>
      <c r="HF843" s="133"/>
      <c r="HG843" s="133"/>
      <c r="HH843" s="133"/>
      <c r="HI843" s="133"/>
      <c r="HJ843" s="133"/>
      <c r="HK843" s="133"/>
      <c r="HL843" s="133"/>
      <c r="HM843" s="133"/>
      <c r="HN843" s="133"/>
      <c r="HO843" s="133"/>
      <c r="HP843" s="133"/>
      <c r="HQ843" s="133"/>
      <c r="HR843" s="133"/>
      <c r="HS843" s="133"/>
      <c r="HT843" s="133"/>
      <c r="HU843" s="133"/>
      <c r="HV843" s="133"/>
      <c r="HW843" s="133"/>
      <c r="HX843" s="133"/>
      <c r="HY843" s="133"/>
      <c r="HZ843" s="133"/>
      <c r="IA843" s="133"/>
      <c r="IB843" s="133"/>
      <c r="IC843" s="133"/>
      <c r="ID843" s="133"/>
      <c r="IE843" s="133"/>
      <c r="IF843" s="133"/>
      <c r="IG843" s="133"/>
      <c r="IH843" s="133"/>
      <c r="II843" s="133"/>
      <c r="IJ843" s="133"/>
      <c r="IK843" s="133"/>
      <c r="IL843" s="133"/>
      <c r="IM843" s="133"/>
      <c r="IN843" s="133"/>
      <c r="IO843" s="133"/>
      <c r="IP843" s="133"/>
      <c r="IQ843" s="133"/>
      <c r="IR843" s="133"/>
      <c r="IS843" s="133"/>
      <c r="IT843" s="133"/>
      <c r="IU843" s="133"/>
      <c r="IV843" s="133"/>
    </row>
    <row r="844" spans="1:256" s="132" customFormat="1" ht="13.8">
      <c r="A844" s="133"/>
      <c r="B844" s="133"/>
      <c r="C844" s="133"/>
      <c r="D844" s="133"/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GE844" s="133"/>
      <c r="GF844" s="133"/>
      <c r="GG844" s="133"/>
      <c r="GH844" s="133"/>
      <c r="GI844" s="133"/>
      <c r="GJ844" s="133"/>
      <c r="GK844" s="133"/>
      <c r="GL844" s="133"/>
      <c r="GM844" s="133"/>
      <c r="GN844" s="133"/>
      <c r="GO844" s="133"/>
      <c r="GP844" s="133"/>
      <c r="GQ844" s="133"/>
      <c r="GR844" s="133"/>
      <c r="GS844" s="133"/>
      <c r="GT844" s="133"/>
      <c r="GU844" s="133"/>
      <c r="GV844" s="133"/>
      <c r="GW844" s="133"/>
      <c r="GX844" s="133"/>
      <c r="GY844" s="133"/>
      <c r="GZ844" s="133"/>
      <c r="HA844" s="133"/>
      <c r="HB844" s="133"/>
      <c r="HC844" s="133"/>
      <c r="HD844" s="133"/>
      <c r="HE844" s="133"/>
      <c r="HF844" s="133"/>
      <c r="HG844" s="133"/>
      <c r="HH844" s="133"/>
      <c r="HI844" s="133"/>
      <c r="HJ844" s="133"/>
      <c r="HK844" s="133"/>
      <c r="HL844" s="133"/>
      <c r="HM844" s="133"/>
      <c r="HN844" s="133"/>
      <c r="HO844" s="133"/>
      <c r="HP844" s="133"/>
      <c r="HQ844" s="133"/>
      <c r="HR844" s="133"/>
      <c r="HS844" s="133"/>
      <c r="HT844" s="133"/>
      <c r="HU844" s="133"/>
      <c r="HV844" s="133"/>
      <c r="HW844" s="133"/>
      <c r="HX844" s="133"/>
      <c r="HY844" s="133"/>
      <c r="HZ844" s="133"/>
      <c r="IA844" s="133"/>
      <c r="IB844" s="133"/>
      <c r="IC844" s="133"/>
      <c r="ID844" s="133"/>
      <c r="IE844" s="133"/>
      <c r="IF844" s="133"/>
      <c r="IG844" s="133"/>
      <c r="IH844" s="133"/>
      <c r="II844" s="133"/>
      <c r="IJ844" s="133"/>
      <c r="IK844" s="133"/>
      <c r="IL844" s="133"/>
      <c r="IM844" s="133"/>
      <c r="IN844" s="133"/>
      <c r="IO844" s="133"/>
      <c r="IP844" s="133"/>
      <c r="IQ844" s="133"/>
      <c r="IR844" s="133"/>
      <c r="IS844" s="133"/>
      <c r="IT844" s="133"/>
      <c r="IU844" s="133"/>
      <c r="IV844" s="133"/>
    </row>
    <row r="845" spans="1:256" s="132" customFormat="1" ht="13.8">
      <c r="A845" s="133"/>
      <c r="B845" s="133"/>
      <c r="C845" s="133"/>
      <c r="D845" s="133"/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GE845" s="133"/>
      <c r="GF845" s="133"/>
      <c r="GG845" s="133"/>
      <c r="GH845" s="133"/>
      <c r="GI845" s="133"/>
      <c r="GJ845" s="133"/>
      <c r="GK845" s="133"/>
      <c r="GL845" s="133"/>
      <c r="GM845" s="133"/>
      <c r="GN845" s="133"/>
      <c r="GO845" s="133"/>
      <c r="GP845" s="133"/>
      <c r="GQ845" s="133"/>
      <c r="GR845" s="133"/>
      <c r="GS845" s="133"/>
      <c r="GT845" s="133"/>
      <c r="GU845" s="133"/>
      <c r="GV845" s="133"/>
      <c r="GW845" s="133"/>
      <c r="GX845" s="133"/>
      <c r="GY845" s="133"/>
      <c r="GZ845" s="133"/>
      <c r="HA845" s="133"/>
      <c r="HB845" s="133"/>
      <c r="HC845" s="133"/>
      <c r="HD845" s="133"/>
      <c r="HE845" s="133"/>
      <c r="HF845" s="133"/>
      <c r="HG845" s="133"/>
      <c r="HH845" s="133"/>
      <c r="HI845" s="133"/>
      <c r="HJ845" s="133"/>
      <c r="HK845" s="133"/>
      <c r="HL845" s="133"/>
      <c r="HM845" s="133"/>
      <c r="HN845" s="133"/>
      <c r="HO845" s="133"/>
      <c r="HP845" s="133"/>
      <c r="HQ845" s="133"/>
      <c r="HR845" s="133"/>
      <c r="HS845" s="133"/>
      <c r="HT845" s="133"/>
      <c r="HU845" s="133"/>
      <c r="HV845" s="133"/>
      <c r="HW845" s="133"/>
      <c r="HX845" s="133"/>
      <c r="HY845" s="133"/>
      <c r="HZ845" s="133"/>
      <c r="IA845" s="133"/>
      <c r="IB845" s="133"/>
      <c r="IC845" s="133"/>
      <c r="ID845" s="133"/>
      <c r="IE845" s="133"/>
      <c r="IF845" s="133"/>
      <c r="IG845" s="133"/>
      <c r="IH845" s="133"/>
      <c r="II845" s="133"/>
      <c r="IJ845" s="133"/>
      <c r="IK845" s="133"/>
      <c r="IL845" s="133"/>
      <c r="IM845" s="133"/>
      <c r="IN845" s="133"/>
      <c r="IO845" s="133"/>
      <c r="IP845" s="133"/>
      <c r="IQ845" s="133"/>
      <c r="IR845" s="133"/>
      <c r="IS845" s="133"/>
      <c r="IT845" s="133"/>
      <c r="IU845" s="133"/>
      <c r="IV845" s="133"/>
    </row>
    <row r="846" spans="1:256" s="132" customFormat="1" ht="13.8">
      <c r="A846" s="133"/>
      <c r="B846" s="133"/>
      <c r="C846" s="133"/>
      <c r="D846" s="133"/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GE846" s="133"/>
      <c r="GF846" s="133"/>
      <c r="GG846" s="133"/>
      <c r="GH846" s="133"/>
      <c r="GI846" s="133"/>
      <c r="GJ846" s="133"/>
      <c r="GK846" s="133"/>
      <c r="GL846" s="133"/>
      <c r="GM846" s="133"/>
      <c r="GN846" s="133"/>
      <c r="GO846" s="133"/>
      <c r="GP846" s="133"/>
      <c r="GQ846" s="133"/>
      <c r="GR846" s="133"/>
      <c r="GS846" s="133"/>
      <c r="GT846" s="133"/>
      <c r="GU846" s="133"/>
      <c r="GV846" s="133"/>
      <c r="GW846" s="133"/>
      <c r="GX846" s="133"/>
      <c r="GY846" s="133"/>
      <c r="GZ846" s="133"/>
      <c r="HA846" s="133"/>
      <c r="HB846" s="133"/>
      <c r="HC846" s="133"/>
      <c r="HD846" s="133"/>
      <c r="HE846" s="133"/>
      <c r="HF846" s="133"/>
      <c r="HG846" s="133"/>
      <c r="HH846" s="133"/>
      <c r="HI846" s="133"/>
      <c r="HJ846" s="133"/>
      <c r="HK846" s="133"/>
      <c r="HL846" s="133"/>
      <c r="HM846" s="133"/>
      <c r="HN846" s="133"/>
      <c r="HO846" s="133"/>
      <c r="HP846" s="133"/>
      <c r="HQ846" s="133"/>
      <c r="HR846" s="133"/>
      <c r="HS846" s="133"/>
      <c r="HT846" s="133"/>
      <c r="HU846" s="133"/>
      <c r="HV846" s="133"/>
      <c r="HW846" s="133"/>
      <c r="HX846" s="133"/>
      <c r="HY846" s="133"/>
      <c r="HZ846" s="133"/>
      <c r="IA846" s="133"/>
      <c r="IB846" s="133"/>
      <c r="IC846" s="133"/>
      <c r="ID846" s="133"/>
      <c r="IE846" s="133"/>
      <c r="IF846" s="133"/>
      <c r="IG846" s="133"/>
      <c r="IH846" s="133"/>
      <c r="II846" s="133"/>
      <c r="IJ846" s="133"/>
      <c r="IK846" s="133"/>
      <c r="IL846" s="133"/>
      <c r="IM846" s="133"/>
      <c r="IN846" s="133"/>
      <c r="IO846" s="133"/>
      <c r="IP846" s="133"/>
      <c r="IQ846" s="133"/>
      <c r="IR846" s="133"/>
      <c r="IS846" s="133"/>
      <c r="IT846" s="133"/>
      <c r="IU846" s="133"/>
      <c r="IV846" s="133"/>
    </row>
    <row r="847" spans="1:256" s="132" customFormat="1" ht="13.8">
      <c r="A847" s="133"/>
      <c r="B847" s="133"/>
      <c r="C847" s="133"/>
      <c r="D847" s="133"/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GE847" s="133"/>
      <c r="GF847" s="133"/>
      <c r="GG847" s="133"/>
      <c r="GH847" s="133"/>
      <c r="GI847" s="133"/>
      <c r="GJ847" s="133"/>
      <c r="GK847" s="133"/>
      <c r="GL847" s="133"/>
      <c r="GM847" s="133"/>
      <c r="GN847" s="133"/>
      <c r="GO847" s="133"/>
      <c r="GP847" s="133"/>
      <c r="GQ847" s="133"/>
      <c r="GR847" s="133"/>
      <c r="GS847" s="133"/>
      <c r="GT847" s="133"/>
      <c r="GU847" s="133"/>
      <c r="GV847" s="133"/>
      <c r="GW847" s="133"/>
      <c r="GX847" s="133"/>
      <c r="GY847" s="133"/>
      <c r="GZ847" s="133"/>
      <c r="HA847" s="133"/>
      <c r="HB847" s="133"/>
      <c r="HC847" s="133"/>
      <c r="HD847" s="133"/>
      <c r="HE847" s="133"/>
      <c r="HF847" s="133"/>
      <c r="HG847" s="133"/>
      <c r="HH847" s="133"/>
      <c r="HI847" s="133"/>
      <c r="HJ847" s="133"/>
      <c r="HK847" s="133"/>
      <c r="HL847" s="133"/>
      <c r="HM847" s="133"/>
      <c r="HN847" s="133"/>
      <c r="HO847" s="133"/>
      <c r="HP847" s="133"/>
      <c r="HQ847" s="133"/>
      <c r="HR847" s="133"/>
      <c r="HS847" s="133"/>
      <c r="HT847" s="133"/>
      <c r="HU847" s="133"/>
      <c r="HV847" s="133"/>
      <c r="HW847" s="133"/>
      <c r="HX847" s="133"/>
      <c r="HY847" s="133"/>
      <c r="HZ847" s="133"/>
      <c r="IA847" s="133"/>
      <c r="IB847" s="133"/>
      <c r="IC847" s="133"/>
      <c r="ID847" s="133"/>
      <c r="IE847" s="133"/>
      <c r="IF847" s="133"/>
      <c r="IG847" s="133"/>
      <c r="IH847" s="133"/>
      <c r="II847" s="133"/>
      <c r="IJ847" s="133"/>
      <c r="IK847" s="133"/>
      <c r="IL847" s="133"/>
      <c r="IM847" s="133"/>
      <c r="IN847" s="133"/>
      <c r="IO847" s="133"/>
      <c r="IP847" s="133"/>
      <c r="IQ847" s="133"/>
      <c r="IR847" s="133"/>
      <c r="IS847" s="133"/>
      <c r="IT847" s="133"/>
      <c r="IU847" s="133"/>
      <c r="IV847" s="133"/>
    </row>
    <row r="848" spans="1:256" s="132" customFormat="1" ht="13.8">
      <c r="A848" s="133"/>
      <c r="B848" s="133"/>
      <c r="C848" s="133"/>
      <c r="D848" s="133"/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GE848" s="133"/>
      <c r="GF848" s="133"/>
      <c r="GG848" s="133"/>
      <c r="GH848" s="133"/>
      <c r="GI848" s="133"/>
      <c r="GJ848" s="133"/>
      <c r="GK848" s="133"/>
      <c r="GL848" s="133"/>
      <c r="GM848" s="133"/>
      <c r="GN848" s="133"/>
      <c r="GO848" s="133"/>
      <c r="GP848" s="133"/>
      <c r="GQ848" s="133"/>
      <c r="GR848" s="133"/>
      <c r="GS848" s="133"/>
      <c r="GT848" s="133"/>
      <c r="GU848" s="133"/>
      <c r="GV848" s="133"/>
      <c r="GW848" s="133"/>
      <c r="GX848" s="133"/>
      <c r="GY848" s="133"/>
      <c r="GZ848" s="133"/>
      <c r="HA848" s="133"/>
      <c r="HB848" s="133"/>
      <c r="HC848" s="133"/>
      <c r="HD848" s="133"/>
      <c r="HE848" s="133"/>
      <c r="HF848" s="133"/>
      <c r="HG848" s="133"/>
      <c r="HH848" s="133"/>
      <c r="HI848" s="133"/>
      <c r="HJ848" s="133"/>
      <c r="HK848" s="133"/>
      <c r="HL848" s="133"/>
      <c r="HM848" s="133"/>
      <c r="HN848" s="133"/>
      <c r="HO848" s="133"/>
      <c r="HP848" s="133"/>
      <c r="HQ848" s="133"/>
      <c r="HR848" s="133"/>
      <c r="HS848" s="133"/>
      <c r="HT848" s="133"/>
      <c r="HU848" s="133"/>
      <c r="HV848" s="133"/>
      <c r="HW848" s="133"/>
      <c r="HX848" s="133"/>
      <c r="HY848" s="133"/>
      <c r="HZ848" s="133"/>
      <c r="IA848" s="133"/>
      <c r="IB848" s="133"/>
      <c r="IC848" s="133"/>
      <c r="ID848" s="133"/>
      <c r="IE848" s="133"/>
      <c r="IF848" s="133"/>
      <c r="IG848" s="133"/>
      <c r="IH848" s="133"/>
      <c r="II848" s="133"/>
      <c r="IJ848" s="133"/>
      <c r="IK848" s="133"/>
      <c r="IL848" s="133"/>
      <c r="IM848" s="133"/>
      <c r="IN848" s="133"/>
      <c r="IO848" s="133"/>
      <c r="IP848" s="133"/>
      <c r="IQ848" s="133"/>
      <c r="IR848" s="133"/>
      <c r="IS848" s="133"/>
      <c r="IT848" s="133"/>
      <c r="IU848" s="133"/>
      <c r="IV848" s="133"/>
    </row>
    <row r="849" spans="1:256" s="132" customFormat="1" ht="13.8">
      <c r="A849" s="133"/>
      <c r="B849" s="133"/>
      <c r="C849" s="133"/>
      <c r="D849" s="133"/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GE849" s="133"/>
      <c r="GF849" s="133"/>
      <c r="GG849" s="133"/>
      <c r="GH849" s="133"/>
      <c r="GI849" s="133"/>
      <c r="GJ849" s="133"/>
      <c r="GK849" s="133"/>
      <c r="GL849" s="133"/>
      <c r="GM849" s="133"/>
      <c r="GN849" s="133"/>
      <c r="GO849" s="133"/>
      <c r="GP849" s="133"/>
      <c r="GQ849" s="133"/>
      <c r="GR849" s="133"/>
      <c r="GS849" s="133"/>
      <c r="GT849" s="133"/>
      <c r="GU849" s="133"/>
      <c r="GV849" s="133"/>
      <c r="GW849" s="133"/>
      <c r="GX849" s="133"/>
      <c r="GY849" s="133"/>
      <c r="GZ849" s="133"/>
      <c r="HA849" s="133"/>
      <c r="HB849" s="133"/>
      <c r="HC849" s="133"/>
      <c r="HD849" s="133"/>
      <c r="HE849" s="133"/>
      <c r="HF849" s="133"/>
      <c r="HG849" s="133"/>
      <c r="HH849" s="133"/>
      <c r="HI849" s="133"/>
      <c r="HJ849" s="133"/>
      <c r="HK849" s="133"/>
      <c r="HL849" s="133"/>
      <c r="HM849" s="133"/>
      <c r="HN849" s="133"/>
      <c r="HO849" s="133"/>
      <c r="HP849" s="133"/>
      <c r="HQ849" s="133"/>
      <c r="HR849" s="133"/>
      <c r="HS849" s="133"/>
      <c r="HT849" s="133"/>
      <c r="HU849" s="133"/>
      <c r="HV849" s="133"/>
      <c r="HW849" s="133"/>
      <c r="HX849" s="133"/>
      <c r="HY849" s="133"/>
      <c r="HZ849" s="133"/>
      <c r="IA849" s="133"/>
      <c r="IB849" s="133"/>
      <c r="IC849" s="133"/>
      <c r="ID849" s="133"/>
      <c r="IE849" s="133"/>
      <c r="IF849" s="133"/>
      <c r="IG849" s="133"/>
      <c r="IH849" s="133"/>
      <c r="II849" s="133"/>
      <c r="IJ849" s="133"/>
      <c r="IK849" s="133"/>
      <c r="IL849" s="133"/>
      <c r="IM849" s="133"/>
      <c r="IN849" s="133"/>
      <c r="IO849" s="133"/>
      <c r="IP849" s="133"/>
      <c r="IQ849" s="133"/>
      <c r="IR849" s="133"/>
      <c r="IS849" s="133"/>
      <c r="IT849" s="133"/>
      <c r="IU849" s="133"/>
      <c r="IV849" s="133"/>
    </row>
    <row r="850" spans="1:256" s="132" customFormat="1" ht="13.8">
      <c r="A850" s="133"/>
      <c r="B850" s="133"/>
      <c r="C850" s="133"/>
      <c r="D850" s="133"/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GE850" s="133"/>
      <c r="GF850" s="133"/>
      <c r="GG850" s="133"/>
      <c r="GH850" s="133"/>
      <c r="GI850" s="133"/>
      <c r="GJ850" s="133"/>
      <c r="GK850" s="133"/>
      <c r="GL850" s="133"/>
      <c r="GM850" s="133"/>
      <c r="GN850" s="133"/>
      <c r="GO850" s="133"/>
      <c r="GP850" s="133"/>
      <c r="GQ850" s="133"/>
      <c r="GR850" s="133"/>
      <c r="GS850" s="133"/>
      <c r="GT850" s="133"/>
      <c r="GU850" s="133"/>
      <c r="GV850" s="133"/>
      <c r="GW850" s="133"/>
      <c r="GX850" s="133"/>
      <c r="GY850" s="133"/>
      <c r="GZ850" s="133"/>
      <c r="HA850" s="133"/>
      <c r="HB850" s="133"/>
      <c r="HC850" s="133"/>
      <c r="HD850" s="133"/>
      <c r="HE850" s="133"/>
      <c r="HF850" s="133"/>
      <c r="HG850" s="133"/>
      <c r="HH850" s="133"/>
      <c r="HI850" s="133"/>
      <c r="HJ850" s="133"/>
      <c r="HK850" s="133"/>
      <c r="HL850" s="133"/>
      <c r="HM850" s="133"/>
      <c r="HN850" s="133"/>
      <c r="HO850" s="133"/>
      <c r="HP850" s="133"/>
      <c r="HQ850" s="133"/>
      <c r="HR850" s="133"/>
      <c r="HS850" s="133"/>
      <c r="HT850" s="133"/>
      <c r="HU850" s="133"/>
      <c r="HV850" s="133"/>
      <c r="HW850" s="133"/>
      <c r="HX850" s="133"/>
      <c r="HY850" s="133"/>
      <c r="HZ850" s="133"/>
      <c r="IA850" s="133"/>
      <c r="IB850" s="133"/>
      <c r="IC850" s="133"/>
      <c r="ID850" s="133"/>
      <c r="IE850" s="133"/>
      <c r="IF850" s="133"/>
      <c r="IG850" s="133"/>
      <c r="IH850" s="133"/>
      <c r="II850" s="133"/>
      <c r="IJ850" s="133"/>
      <c r="IK850" s="133"/>
      <c r="IL850" s="133"/>
      <c r="IM850" s="133"/>
      <c r="IN850" s="133"/>
      <c r="IO850" s="133"/>
      <c r="IP850" s="133"/>
      <c r="IQ850" s="133"/>
      <c r="IR850" s="133"/>
      <c r="IS850" s="133"/>
      <c r="IT850" s="133"/>
      <c r="IU850" s="133"/>
      <c r="IV850" s="133"/>
    </row>
    <row r="851" spans="1:256" s="132" customFormat="1" ht="13.8">
      <c r="A851" s="133"/>
      <c r="B851" s="133"/>
      <c r="C851" s="133"/>
      <c r="D851" s="133"/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GE851" s="133"/>
      <c r="GF851" s="133"/>
      <c r="GG851" s="133"/>
      <c r="GH851" s="133"/>
      <c r="GI851" s="133"/>
      <c r="GJ851" s="133"/>
      <c r="GK851" s="133"/>
      <c r="GL851" s="133"/>
      <c r="GM851" s="133"/>
      <c r="GN851" s="133"/>
      <c r="GO851" s="133"/>
      <c r="GP851" s="133"/>
      <c r="GQ851" s="133"/>
      <c r="GR851" s="133"/>
      <c r="GS851" s="133"/>
      <c r="GT851" s="133"/>
      <c r="GU851" s="133"/>
      <c r="GV851" s="133"/>
      <c r="GW851" s="133"/>
      <c r="GX851" s="133"/>
      <c r="GY851" s="133"/>
      <c r="GZ851" s="133"/>
      <c r="HA851" s="133"/>
      <c r="HB851" s="133"/>
      <c r="HC851" s="133"/>
      <c r="HD851" s="133"/>
      <c r="HE851" s="133"/>
      <c r="HF851" s="133"/>
      <c r="HG851" s="133"/>
      <c r="HH851" s="133"/>
      <c r="HI851" s="133"/>
      <c r="HJ851" s="133"/>
      <c r="HK851" s="133"/>
      <c r="HL851" s="133"/>
      <c r="HM851" s="133"/>
      <c r="HN851" s="133"/>
      <c r="HO851" s="133"/>
      <c r="HP851" s="133"/>
      <c r="HQ851" s="133"/>
      <c r="HR851" s="133"/>
      <c r="HS851" s="133"/>
      <c r="HT851" s="133"/>
      <c r="HU851" s="133"/>
      <c r="HV851" s="133"/>
      <c r="HW851" s="133"/>
      <c r="HX851" s="133"/>
      <c r="HY851" s="133"/>
      <c r="HZ851" s="133"/>
      <c r="IA851" s="133"/>
      <c r="IB851" s="133"/>
      <c r="IC851" s="133"/>
      <c r="ID851" s="133"/>
      <c r="IE851" s="133"/>
      <c r="IF851" s="133"/>
      <c r="IG851" s="133"/>
      <c r="IH851" s="133"/>
      <c r="II851" s="133"/>
      <c r="IJ851" s="133"/>
      <c r="IK851" s="133"/>
      <c r="IL851" s="133"/>
      <c r="IM851" s="133"/>
      <c r="IN851" s="133"/>
      <c r="IO851" s="133"/>
      <c r="IP851" s="133"/>
      <c r="IQ851" s="133"/>
      <c r="IR851" s="133"/>
      <c r="IS851" s="133"/>
      <c r="IT851" s="133"/>
      <c r="IU851" s="133"/>
      <c r="IV851" s="133"/>
    </row>
    <row r="852" spans="1:256" s="132" customFormat="1" ht="13.8">
      <c r="A852" s="133"/>
      <c r="B852" s="133"/>
      <c r="C852" s="133"/>
      <c r="D852" s="133"/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GE852" s="133"/>
      <c r="GF852" s="133"/>
      <c r="GG852" s="133"/>
      <c r="GH852" s="133"/>
      <c r="GI852" s="133"/>
      <c r="GJ852" s="133"/>
      <c r="GK852" s="133"/>
      <c r="GL852" s="133"/>
      <c r="GM852" s="133"/>
      <c r="GN852" s="133"/>
      <c r="GO852" s="133"/>
      <c r="GP852" s="133"/>
      <c r="GQ852" s="133"/>
      <c r="GR852" s="133"/>
      <c r="GS852" s="133"/>
      <c r="GT852" s="133"/>
      <c r="GU852" s="133"/>
      <c r="GV852" s="133"/>
      <c r="GW852" s="133"/>
      <c r="GX852" s="133"/>
      <c r="GY852" s="133"/>
      <c r="GZ852" s="133"/>
      <c r="HA852" s="133"/>
      <c r="HB852" s="133"/>
      <c r="HC852" s="133"/>
      <c r="HD852" s="133"/>
      <c r="HE852" s="133"/>
      <c r="HF852" s="133"/>
      <c r="HG852" s="133"/>
      <c r="HH852" s="133"/>
      <c r="HI852" s="133"/>
      <c r="HJ852" s="133"/>
      <c r="HK852" s="133"/>
      <c r="HL852" s="133"/>
      <c r="HM852" s="133"/>
      <c r="HN852" s="133"/>
      <c r="HO852" s="133"/>
      <c r="HP852" s="133"/>
      <c r="HQ852" s="133"/>
      <c r="HR852" s="133"/>
      <c r="HS852" s="133"/>
      <c r="HT852" s="133"/>
      <c r="HU852" s="133"/>
      <c r="HV852" s="133"/>
      <c r="HW852" s="133"/>
      <c r="HX852" s="133"/>
      <c r="HY852" s="133"/>
      <c r="HZ852" s="133"/>
      <c r="IA852" s="133"/>
      <c r="IB852" s="133"/>
      <c r="IC852" s="133"/>
      <c r="ID852" s="133"/>
      <c r="IE852" s="133"/>
      <c r="IF852" s="133"/>
      <c r="IG852" s="133"/>
      <c r="IH852" s="133"/>
      <c r="II852" s="133"/>
      <c r="IJ852" s="133"/>
      <c r="IK852" s="133"/>
      <c r="IL852" s="133"/>
      <c r="IM852" s="133"/>
      <c r="IN852" s="133"/>
      <c r="IO852" s="133"/>
      <c r="IP852" s="133"/>
      <c r="IQ852" s="133"/>
      <c r="IR852" s="133"/>
      <c r="IS852" s="133"/>
      <c r="IT852" s="133"/>
      <c r="IU852" s="133"/>
      <c r="IV852" s="133"/>
    </row>
    <row r="853" spans="1:256" s="132" customFormat="1" ht="13.8">
      <c r="A853" s="133"/>
      <c r="B853" s="133"/>
      <c r="C853" s="133"/>
      <c r="D853" s="133"/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GE853" s="133"/>
      <c r="GF853" s="133"/>
      <c r="GG853" s="133"/>
      <c r="GH853" s="133"/>
      <c r="GI853" s="133"/>
      <c r="GJ853" s="133"/>
      <c r="GK853" s="133"/>
      <c r="GL853" s="133"/>
      <c r="GM853" s="133"/>
      <c r="GN853" s="133"/>
      <c r="GO853" s="133"/>
      <c r="GP853" s="133"/>
      <c r="GQ853" s="133"/>
      <c r="GR853" s="133"/>
      <c r="GS853" s="133"/>
      <c r="GT853" s="133"/>
      <c r="GU853" s="133"/>
      <c r="GV853" s="133"/>
      <c r="GW853" s="133"/>
      <c r="GX853" s="133"/>
      <c r="GY853" s="133"/>
      <c r="GZ853" s="133"/>
      <c r="HA853" s="133"/>
      <c r="HB853" s="133"/>
      <c r="HC853" s="133"/>
      <c r="HD853" s="133"/>
      <c r="HE853" s="133"/>
      <c r="HF853" s="133"/>
      <c r="HG853" s="133"/>
      <c r="HH853" s="133"/>
      <c r="HI853" s="133"/>
      <c r="HJ853" s="133"/>
      <c r="HK853" s="133"/>
      <c r="HL853" s="133"/>
      <c r="HM853" s="133"/>
      <c r="HN853" s="133"/>
      <c r="HO853" s="133"/>
      <c r="HP853" s="133"/>
      <c r="HQ853" s="133"/>
      <c r="HR853" s="133"/>
      <c r="HS853" s="133"/>
      <c r="HT853" s="133"/>
      <c r="HU853" s="133"/>
      <c r="HV853" s="133"/>
      <c r="HW853" s="133"/>
      <c r="HX853" s="133"/>
      <c r="HY853" s="133"/>
      <c r="HZ853" s="133"/>
      <c r="IA853" s="133"/>
      <c r="IB853" s="133"/>
      <c r="IC853" s="133"/>
      <c r="ID853" s="133"/>
      <c r="IE853" s="133"/>
      <c r="IF853" s="133"/>
      <c r="IG853" s="133"/>
      <c r="IH853" s="133"/>
      <c r="II853" s="133"/>
      <c r="IJ853" s="133"/>
      <c r="IK853" s="133"/>
      <c r="IL853" s="133"/>
      <c r="IM853" s="133"/>
      <c r="IN853" s="133"/>
      <c r="IO853" s="133"/>
      <c r="IP853" s="133"/>
      <c r="IQ853" s="133"/>
      <c r="IR853" s="133"/>
      <c r="IS853" s="133"/>
      <c r="IT853" s="133"/>
      <c r="IU853" s="133"/>
      <c r="IV853" s="133"/>
    </row>
    <row r="854" spans="1:256" s="132" customFormat="1" ht="13.8">
      <c r="A854" s="133"/>
      <c r="B854" s="133"/>
      <c r="C854" s="133"/>
      <c r="D854" s="133"/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GE854" s="133"/>
      <c r="GF854" s="133"/>
      <c r="GG854" s="133"/>
      <c r="GH854" s="133"/>
      <c r="GI854" s="133"/>
      <c r="GJ854" s="133"/>
      <c r="GK854" s="133"/>
      <c r="GL854" s="133"/>
      <c r="GM854" s="133"/>
      <c r="GN854" s="133"/>
      <c r="GO854" s="133"/>
      <c r="GP854" s="133"/>
      <c r="GQ854" s="133"/>
      <c r="GR854" s="133"/>
      <c r="GS854" s="133"/>
      <c r="GT854" s="133"/>
      <c r="GU854" s="133"/>
      <c r="GV854" s="133"/>
      <c r="GW854" s="133"/>
      <c r="GX854" s="133"/>
      <c r="GY854" s="133"/>
      <c r="GZ854" s="133"/>
      <c r="HA854" s="133"/>
      <c r="HB854" s="133"/>
      <c r="HC854" s="133"/>
      <c r="HD854" s="133"/>
      <c r="HE854" s="133"/>
      <c r="HF854" s="133"/>
      <c r="HG854" s="133"/>
      <c r="HH854" s="133"/>
      <c r="HI854" s="133"/>
      <c r="HJ854" s="133"/>
      <c r="HK854" s="133"/>
      <c r="HL854" s="133"/>
      <c r="HM854" s="133"/>
      <c r="HN854" s="133"/>
      <c r="HO854" s="133"/>
      <c r="HP854" s="133"/>
      <c r="HQ854" s="133"/>
      <c r="HR854" s="133"/>
      <c r="HS854" s="133"/>
      <c r="HT854" s="133"/>
      <c r="HU854" s="133"/>
      <c r="HV854" s="133"/>
      <c r="HW854" s="133"/>
      <c r="HX854" s="133"/>
      <c r="HY854" s="133"/>
      <c r="HZ854" s="133"/>
      <c r="IA854" s="133"/>
      <c r="IB854" s="133"/>
      <c r="IC854" s="133"/>
      <c r="ID854" s="133"/>
      <c r="IE854" s="133"/>
      <c r="IF854" s="133"/>
      <c r="IG854" s="133"/>
      <c r="IH854" s="133"/>
      <c r="II854" s="133"/>
      <c r="IJ854" s="133"/>
      <c r="IK854" s="133"/>
      <c r="IL854" s="133"/>
      <c r="IM854" s="133"/>
      <c r="IN854" s="133"/>
      <c r="IO854" s="133"/>
      <c r="IP854" s="133"/>
      <c r="IQ854" s="133"/>
      <c r="IR854" s="133"/>
      <c r="IS854" s="133"/>
      <c r="IT854" s="133"/>
      <c r="IU854" s="133"/>
      <c r="IV854" s="133"/>
    </row>
    <row r="855" spans="1:256" s="132" customFormat="1" ht="13.8">
      <c r="A855" s="133"/>
      <c r="B855" s="133"/>
      <c r="C855" s="133"/>
      <c r="D855" s="133"/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GE855" s="133"/>
      <c r="GF855" s="133"/>
      <c r="GG855" s="133"/>
      <c r="GH855" s="133"/>
      <c r="GI855" s="133"/>
      <c r="GJ855" s="133"/>
      <c r="GK855" s="133"/>
      <c r="GL855" s="133"/>
      <c r="GM855" s="133"/>
      <c r="GN855" s="133"/>
      <c r="GO855" s="133"/>
      <c r="GP855" s="133"/>
      <c r="GQ855" s="133"/>
      <c r="GR855" s="133"/>
      <c r="GS855" s="133"/>
      <c r="GT855" s="133"/>
      <c r="GU855" s="133"/>
      <c r="GV855" s="133"/>
      <c r="GW855" s="133"/>
      <c r="GX855" s="133"/>
      <c r="GY855" s="133"/>
      <c r="GZ855" s="133"/>
      <c r="HA855" s="133"/>
      <c r="HB855" s="133"/>
      <c r="HC855" s="133"/>
      <c r="HD855" s="133"/>
      <c r="HE855" s="133"/>
      <c r="HF855" s="133"/>
      <c r="HG855" s="133"/>
      <c r="HH855" s="133"/>
      <c r="HI855" s="133"/>
      <c r="HJ855" s="133"/>
      <c r="HK855" s="133"/>
      <c r="HL855" s="133"/>
      <c r="HM855" s="133"/>
      <c r="HN855" s="133"/>
      <c r="HO855" s="133"/>
      <c r="HP855" s="133"/>
      <c r="HQ855" s="133"/>
      <c r="HR855" s="133"/>
      <c r="HS855" s="133"/>
      <c r="HT855" s="133"/>
      <c r="HU855" s="133"/>
      <c r="HV855" s="133"/>
      <c r="HW855" s="133"/>
      <c r="HX855" s="133"/>
      <c r="HY855" s="133"/>
      <c r="HZ855" s="133"/>
      <c r="IA855" s="133"/>
      <c r="IB855" s="133"/>
      <c r="IC855" s="133"/>
      <c r="ID855" s="133"/>
      <c r="IE855" s="133"/>
      <c r="IF855" s="133"/>
      <c r="IG855" s="133"/>
      <c r="IH855" s="133"/>
      <c r="II855" s="133"/>
      <c r="IJ855" s="133"/>
      <c r="IK855" s="133"/>
      <c r="IL855" s="133"/>
      <c r="IM855" s="133"/>
      <c r="IN855" s="133"/>
      <c r="IO855" s="133"/>
      <c r="IP855" s="133"/>
      <c r="IQ855" s="133"/>
      <c r="IR855" s="133"/>
      <c r="IS855" s="133"/>
      <c r="IT855" s="133"/>
      <c r="IU855" s="133"/>
      <c r="IV855" s="133"/>
    </row>
    <row r="856" spans="1:256" s="132" customFormat="1" ht="13.8">
      <c r="A856" s="133"/>
      <c r="B856" s="133"/>
      <c r="C856" s="133"/>
      <c r="D856" s="133"/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GE856" s="133"/>
      <c r="GF856" s="133"/>
      <c r="GG856" s="133"/>
      <c r="GH856" s="133"/>
      <c r="GI856" s="133"/>
      <c r="GJ856" s="133"/>
      <c r="GK856" s="133"/>
      <c r="GL856" s="133"/>
      <c r="GM856" s="133"/>
      <c r="GN856" s="133"/>
      <c r="GO856" s="133"/>
      <c r="GP856" s="133"/>
      <c r="GQ856" s="133"/>
      <c r="GR856" s="133"/>
      <c r="GS856" s="133"/>
      <c r="GT856" s="133"/>
      <c r="GU856" s="133"/>
      <c r="GV856" s="133"/>
      <c r="GW856" s="133"/>
      <c r="GX856" s="133"/>
      <c r="GY856" s="133"/>
      <c r="GZ856" s="133"/>
      <c r="HA856" s="133"/>
      <c r="HB856" s="133"/>
      <c r="HC856" s="133"/>
      <c r="HD856" s="133"/>
      <c r="HE856" s="133"/>
      <c r="HF856" s="133"/>
      <c r="HG856" s="133"/>
      <c r="HH856" s="133"/>
      <c r="HI856" s="133"/>
      <c r="HJ856" s="133"/>
      <c r="HK856" s="133"/>
      <c r="HL856" s="133"/>
      <c r="HM856" s="133"/>
      <c r="HN856" s="133"/>
      <c r="HO856" s="133"/>
      <c r="HP856" s="133"/>
      <c r="HQ856" s="133"/>
      <c r="HR856" s="133"/>
      <c r="HS856" s="133"/>
      <c r="HT856" s="133"/>
      <c r="HU856" s="133"/>
      <c r="HV856" s="133"/>
      <c r="HW856" s="133"/>
      <c r="HX856" s="133"/>
      <c r="HY856" s="133"/>
      <c r="HZ856" s="133"/>
      <c r="IA856" s="133"/>
      <c r="IB856" s="133"/>
      <c r="IC856" s="133"/>
      <c r="ID856" s="133"/>
      <c r="IE856" s="133"/>
      <c r="IF856" s="133"/>
      <c r="IG856" s="133"/>
      <c r="IH856" s="133"/>
      <c r="II856" s="133"/>
      <c r="IJ856" s="133"/>
      <c r="IK856" s="133"/>
      <c r="IL856" s="133"/>
      <c r="IM856" s="133"/>
      <c r="IN856" s="133"/>
      <c r="IO856" s="133"/>
      <c r="IP856" s="133"/>
      <c r="IQ856" s="133"/>
      <c r="IR856" s="133"/>
      <c r="IS856" s="133"/>
      <c r="IT856" s="133"/>
      <c r="IU856" s="133"/>
      <c r="IV856" s="133"/>
    </row>
    <row r="857" spans="1:256" s="132" customFormat="1" ht="13.8">
      <c r="A857" s="133"/>
      <c r="B857" s="133"/>
      <c r="C857" s="133"/>
      <c r="D857" s="133"/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GE857" s="133"/>
      <c r="GF857" s="133"/>
      <c r="GG857" s="133"/>
      <c r="GH857" s="133"/>
      <c r="GI857" s="133"/>
      <c r="GJ857" s="133"/>
      <c r="GK857" s="133"/>
      <c r="GL857" s="133"/>
      <c r="GM857" s="133"/>
      <c r="GN857" s="133"/>
      <c r="GO857" s="133"/>
      <c r="GP857" s="133"/>
      <c r="GQ857" s="133"/>
      <c r="GR857" s="133"/>
      <c r="GS857" s="133"/>
      <c r="GT857" s="133"/>
      <c r="GU857" s="133"/>
      <c r="GV857" s="133"/>
      <c r="GW857" s="133"/>
      <c r="GX857" s="133"/>
      <c r="GY857" s="133"/>
      <c r="GZ857" s="133"/>
      <c r="HA857" s="133"/>
      <c r="HB857" s="133"/>
      <c r="HC857" s="133"/>
      <c r="HD857" s="133"/>
      <c r="HE857" s="133"/>
      <c r="HF857" s="133"/>
      <c r="HG857" s="133"/>
      <c r="HH857" s="133"/>
      <c r="HI857" s="133"/>
      <c r="HJ857" s="133"/>
      <c r="HK857" s="133"/>
      <c r="HL857" s="133"/>
      <c r="HM857" s="133"/>
      <c r="HN857" s="133"/>
      <c r="HO857" s="133"/>
      <c r="HP857" s="133"/>
      <c r="HQ857" s="133"/>
      <c r="HR857" s="133"/>
      <c r="HS857" s="133"/>
      <c r="HT857" s="133"/>
      <c r="HU857" s="133"/>
      <c r="HV857" s="133"/>
      <c r="HW857" s="133"/>
      <c r="HX857" s="133"/>
      <c r="HY857" s="133"/>
      <c r="HZ857" s="133"/>
      <c r="IA857" s="133"/>
      <c r="IB857" s="133"/>
      <c r="IC857" s="133"/>
      <c r="ID857" s="133"/>
      <c r="IE857" s="133"/>
      <c r="IF857" s="133"/>
      <c r="IG857" s="133"/>
      <c r="IH857" s="133"/>
      <c r="II857" s="133"/>
      <c r="IJ857" s="133"/>
      <c r="IK857" s="133"/>
      <c r="IL857" s="133"/>
      <c r="IM857" s="133"/>
      <c r="IN857" s="133"/>
      <c r="IO857" s="133"/>
      <c r="IP857" s="133"/>
      <c r="IQ857" s="133"/>
      <c r="IR857" s="133"/>
      <c r="IS857" s="133"/>
      <c r="IT857" s="133"/>
      <c r="IU857" s="133"/>
      <c r="IV857" s="133"/>
    </row>
    <row r="858" spans="1:256" s="132" customFormat="1" ht="13.8">
      <c r="A858" s="133"/>
      <c r="B858" s="133"/>
      <c r="C858" s="133"/>
      <c r="D858" s="133"/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GE858" s="133"/>
      <c r="GF858" s="133"/>
      <c r="GG858" s="133"/>
      <c r="GH858" s="133"/>
      <c r="GI858" s="133"/>
      <c r="GJ858" s="133"/>
      <c r="GK858" s="133"/>
      <c r="GL858" s="133"/>
      <c r="GM858" s="133"/>
      <c r="GN858" s="133"/>
      <c r="GO858" s="133"/>
      <c r="GP858" s="133"/>
      <c r="GQ858" s="133"/>
      <c r="GR858" s="133"/>
      <c r="GS858" s="133"/>
      <c r="GT858" s="133"/>
      <c r="GU858" s="133"/>
      <c r="GV858" s="133"/>
      <c r="GW858" s="133"/>
      <c r="GX858" s="133"/>
      <c r="GY858" s="133"/>
      <c r="GZ858" s="133"/>
      <c r="HA858" s="133"/>
      <c r="HB858" s="133"/>
      <c r="HC858" s="133"/>
      <c r="HD858" s="133"/>
      <c r="HE858" s="133"/>
      <c r="HF858" s="133"/>
      <c r="HG858" s="133"/>
      <c r="HH858" s="133"/>
      <c r="HI858" s="133"/>
      <c r="HJ858" s="133"/>
      <c r="HK858" s="133"/>
      <c r="HL858" s="133"/>
      <c r="HM858" s="133"/>
      <c r="HN858" s="133"/>
      <c r="HO858" s="133"/>
      <c r="HP858" s="133"/>
      <c r="HQ858" s="133"/>
      <c r="HR858" s="133"/>
      <c r="HS858" s="133"/>
      <c r="HT858" s="133"/>
      <c r="HU858" s="133"/>
      <c r="HV858" s="133"/>
      <c r="HW858" s="133"/>
      <c r="HX858" s="133"/>
      <c r="HY858" s="133"/>
      <c r="HZ858" s="133"/>
      <c r="IA858" s="133"/>
      <c r="IB858" s="133"/>
      <c r="IC858" s="133"/>
      <c r="ID858" s="133"/>
      <c r="IE858" s="133"/>
      <c r="IF858" s="133"/>
      <c r="IG858" s="133"/>
      <c r="IH858" s="133"/>
      <c r="II858" s="133"/>
      <c r="IJ858" s="133"/>
      <c r="IK858" s="133"/>
      <c r="IL858" s="133"/>
      <c r="IM858" s="133"/>
      <c r="IN858" s="133"/>
      <c r="IO858" s="133"/>
      <c r="IP858" s="133"/>
      <c r="IQ858" s="133"/>
      <c r="IR858" s="133"/>
      <c r="IS858" s="133"/>
      <c r="IT858" s="133"/>
      <c r="IU858" s="133"/>
      <c r="IV858" s="133"/>
    </row>
    <row r="859" spans="1:256" s="132" customFormat="1" ht="13.8">
      <c r="A859" s="133"/>
      <c r="B859" s="133"/>
      <c r="C859" s="133"/>
      <c r="D859" s="133"/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GE859" s="133"/>
      <c r="GF859" s="133"/>
      <c r="GG859" s="133"/>
      <c r="GH859" s="133"/>
      <c r="GI859" s="133"/>
      <c r="GJ859" s="133"/>
      <c r="GK859" s="133"/>
      <c r="GL859" s="133"/>
      <c r="GM859" s="133"/>
      <c r="GN859" s="133"/>
      <c r="GO859" s="133"/>
      <c r="GP859" s="133"/>
      <c r="GQ859" s="133"/>
      <c r="GR859" s="133"/>
      <c r="GS859" s="133"/>
      <c r="GT859" s="133"/>
      <c r="GU859" s="133"/>
      <c r="GV859" s="133"/>
      <c r="GW859" s="133"/>
      <c r="GX859" s="133"/>
      <c r="GY859" s="133"/>
      <c r="GZ859" s="133"/>
      <c r="HA859" s="133"/>
      <c r="HB859" s="133"/>
      <c r="HC859" s="133"/>
      <c r="HD859" s="133"/>
      <c r="HE859" s="133"/>
      <c r="HF859" s="133"/>
      <c r="HG859" s="133"/>
      <c r="HH859" s="133"/>
      <c r="HI859" s="133"/>
      <c r="HJ859" s="133"/>
      <c r="HK859" s="133"/>
      <c r="HL859" s="133"/>
      <c r="HM859" s="133"/>
      <c r="HN859" s="133"/>
      <c r="HO859" s="133"/>
      <c r="HP859" s="133"/>
      <c r="HQ859" s="133"/>
      <c r="HR859" s="133"/>
      <c r="HS859" s="133"/>
      <c r="HT859" s="133"/>
      <c r="HU859" s="133"/>
      <c r="HV859" s="133"/>
      <c r="HW859" s="133"/>
      <c r="HX859" s="133"/>
      <c r="HY859" s="133"/>
      <c r="HZ859" s="133"/>
      <c r="IA859" s="133"/>
      <c r="IB859" s="133"/>
      <c r="IC859" s="133"/>
      <c r="ID859" s="133"/>
      <c r="IE859" s="133"/>
      <c r="IF859" s="133"/>
      <c r="IG859" s="133"/>
      <c r="IH859" s="133"/>
      <c r="II859" s="133"/>
      <c r="IJ859" s="133"/>
      <c r="IK859" s="133"/>
      <c r="IL859" s="133"/>
      <c r="IM859" s="133"/>
      <c r="IN859" s="133"/>
      <c r="IO859" s="133"/>
      <c r="IP859" s="133"/>
      <c r="IQ859" s="133"/>
      <c r="IR859" s="133"/>
      <c r="IS859" s="133"/>
      <c r="IT859" s="133"/>
      <c r="IU859" s="133"/>
      <c r="IV859" s="133"/>
    </row>
    <row r="860" spans="1:256" s="132" customFormat="1" ht="13.8">
      <c r="A860" s="133"/>
      <c r="B860" s="133"/>
      <c r="C860" s="133"/>
      <c r="D860" s="133"/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GE860" s="133"/>
      <c r="GF860" s="133"/>
      <c r="GG860" s="133"/>
      <c r="GH860" s="133"/>
      <c r="GI860" s="133"/>
      <c r="GJ860" s="133"/>
      <c r="GK860" s="133"/>
      <c r="GL860" s="133"/>
      <c r="GM860" s="133"/>
      <c r="GN860" s="133"/>
      <c r="GO860" s="133"/>
      <c r="GP860" s="133"/>
      <c r="GQ860" s="133"/>
      <c r="GR860" s="133"/>
      <c r="GS860" s="133"/>
      <c r="GT860" s="133"/>
      <c r="GU860" s="133"/>
      <c r="GV860" s="133"/>
      <c r="GW860" s="133"/>
      <c r="GX860" s="133"/>
      <c r="GY860" s="133"/>
      <c r="GZ860" s="133"/>
      <c r="HA860" s="133"/>
      <c r="HB860" s="133"/>
      <c r="HC860" s="133"/>
      <c r="HD860" s="133"/>
      <c r="HE860" s="133"/>
      <c r="HF860" s="133"/>
      <c r="HG860" s="133"/>
      <c r="HH860" s="133"/>
      <c r="HI860" s="133"/>
      <c r="HJ860" s="133"/>
      <c r="HK860" s="133"/>
      <c r="HL860" s="133"/>
      <c r="HM860" s="133"/>
      <c r="HN860" s="133"/>
      <c r="HO860" s="133"/>
      <c r="HP860" s="133"/>
      <c r="HQ860" s="133"/>
      <c r="HR860" s="133"/>
      <c r="HS860" s="133"/>
      <c r="HT860" s="133"/>
      <c r="HU860" s="133"/>
      <c r="HV860" s="133"/>
      <c r="HW860" s="133"/>
      <c r="HX860" s="133"/>
      <c r="HY860" s="133"/>
      <c r="HZ860" s="133"/>
      <c r="IA860" s="133"/>
      <c r="IB860" s="133"/>
      <c r="IC860" s="133"/>
      <c r="ID860" s="133"/>
      <c r="IE860" s="133"/>
      <c r="IF860" s="133"/>
      <c r="IG860" s="133"/>
      <c r="IH860" s="133"/>
      <c r="II860" s="133"/>
      <c r="IJ860" s="133"/>
      <c r="IK860" s="133"/>
      <c r="IL860" s="133"/>
      <c r="IM860" s="133"/>
      <c r="IN860" s="133"/>
      <c r="IO860" s="133"/>
      <c r="IP860" s="133"/>
      <c r="IQ860" s="133"/>
      <c r="IR860" s="133"/>
      <c r="IS860" s="133"/>
      <c r="IT860" s="133"/>
      <c r="IU860" s="133"/>
      <c r="IV860" s="133"/>
    </row>
    <row r="861" spans="1:256" s="132" customFormat="1" ht="13.8">
      <c r="A861" s="133"/>
      <c r="B861" s="133"/>
      <c r="C861" s="133"/>
      <c r="D861" s="133"/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GE861" s="133"/>
      <c r="GF861" s="133"/>
      <c r="GG861" s="133"/>
      <c r="GH861" s="133"/>
      <c r="GI861" s="133"/>
      <c r="GJ861" s="133"/>
      <c r="GK861" s="133"/>
      <c r="GL861" s="133"/>
      <c r="GM861" s="133"/>
      <c r="GN861" s="133"/>
      <c r="GO861" s="133"/>
      <c r="GP861" s="133"/>
      <c r="GQ861" s="133"/>
      <c r="GR861" s="133"/>
      <c r="GS861" s="133"/>
      <c r="GT861" s="133"/>
      <c r="GU861" s="133"/>
      <c r="GV861" s="133"/>
      <c r="GW861" s="133"/>
      <c r="GX861" s="133"/>
      <c r="GY861" s="133"/>
      <c r="GZ861" s="133"/>
      <c r="HA861" s="133"/>
      <c r="HB861" s="133"/>
      <c r="HC861" s="133"/>
      <c r="HD861" s="133"/>
      <c r="HE861" s="133"/>
      <c r="HF861" s="133"/>
      <c r="HG861" s="133"/>
      <c r="HH861" s="133"/>
      <c r="HI861" s="133"/>
      <c r="HJ861" s="133"/>
      <c r="HK861" s="133"/>
      <c r="HL861" s="133"/>
      <c r="HM861" s="133"/>
      <c r="HN861" s="133"/>
      <c r="HO861" s="133"/>
      <c r="HP861" s="133"/>
      <c r="HQ861" s="133"/>
      <c r="HR861" s="133"/>
      <c r="HS861" s="133"/>
      <c r="HT861" s="133"/>
      <c r="HU861" s="133"/>
      <c r="HV861" s="133"/>
      <c r="HW861" s="133"/>
      <c r="HX861" s="133"/>
      <c r="HY861" s="133"/>
      <c r="HZ861" s="133"/>
      <c r="IA861" s="133"/>
      <c r="IB861" s="133"/>
      <c r="IC861" s="133"/>
      <c r="ID861" s="133"/>
      <c r="IE861" s="133"/>
      <c r="IF861" s="133"/>
      <c r="IG861" s="133"/>
      <c r="IH861" s="133"/>
      <c r="II861" s="133"/>
      <c r="IJ861" s="133"/>
      <c r="IK861" s="133"/>
      <c r="IL861" s="133"/>
      <c r="IM861" s="133"/>
      <c r="IN861" s="133"/>
      <c r="IO861" s="133"/>
      <c r="IP861" s="133"/>
      <c r="IQ861" s="133"/>
      <c r="IR861" s="133"/>
      <c r="IS861" s="133"/>
      <c r="IT861" s="133"/>
      <c r="IU861" s="133"/>
      <c r="IV861" s="133"/>
    </row>
    <row r="862" spans="1:256" s="132" customFormat="1" ht="13.8">
      <c r="A862" s="133"/>
      <c r="B862" s="133"/>
      <c r="C862" s="133"/>
      <c r="D862" s="133"/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GE862" s="133"/>
      <c r="GF862" s="133"/>
      <c r="GG862" s="133"/>
      <c r="GH862" s="133"/>
      <c r="GI862" s="133"/>
      <c r="GJ862" s="133"/>
      <c r="GK862" s="133"/>
      <c r="GL862" s="133"/>
      <c r="GM862" s="133"/>
      <c r="GN862" s="133"/>
      <c r="GO862" s="133"/>
      <c r="GP862" s="133"/>
      <c r="GQ862" s="133"/>
      <c r="GR862" s="133"/>
      <c r="GS862" s="133"/>
      <c r="GT862" s="133"/>
      <c r="GU862" s="133"/>
      <c r="GV862" s="133"/>
      <c r="GW862" s="133"/>
      <c r="GX862" s="133"/>
      <c r="GY862" s="133"/>
      <c r="GZ862" s="133"/>
      <c r="HA862" s="133"/>
      <c r="HB862" s="133"/>
      <c r="HC862" s="133"/>
      <c r="HD862" s="133"/>
      <c r="HE862" s="133"/>
      <c r="HF862" s="133"/>
      <c r="HG862" s="133"/>
      <c r="HH862" s="133"/>
      <c r="HI862" s="133"/>
      <c r="HJ862" s="133"/>
      <c r="HK862" s="133"/>
      <c r="HL862" s="133"/>
      <c r="HM862" s="133"/>
      <c r="HN862" s="133"/>
      <c r="HO862" s="133"/>
      <c r="HP862" s="133"/>
      <c r="HQ862" s="133"/>
      <c r="HR862" s="133"/>
      <c r="HS862" s="133"/>
      <c r="HT862" s="133"/>
      <c r="HU862" s="133"/>
      <c r="HV862" s="133"/>
      <c r="HW862" s="133"/>
      <c r="HX862" s="133"/>
      <c r="HY862" s="133"/>
      <c r="HZ862" s="133"/>
      <c r="IA862" s="133"/>
      <c r="IB862" s="133"/>
      <c r="IC862" s="133"/>
      <c r="ID862" s="133"/>
      <c r="IE862" s="133"/>
      <c r="IF862" s="133"/>
      <c r="IG862" s="133"/>
      <c r="IH862" s="133"/>
      <c r="II862" s="133"/>
      <c r="IJ862" s="133"/>
      <c r="IK862" s="133"/>
      <c r="IL862" s="133"/>
      <c r="IM862" s="133"/>
      <c r="IN862" s="133"/>
      <c r="IO862" s="133"/>
      <c r="IP862" s="133"/>
      <c r="IQ862" s="133"/>
      <c r="IR862" s="133"/>
      <c r="IS862" s="133"/>
      <c r="IT862" s="133"/>
      <c r="IU862" s="133"/>
      <c r="IV862" s="133"/>
    </row>
    <row r="863" spans="1:256" s="132" customFormat="1" ht="13.8">
      <c r="A863" s="133"/>
      <c r="B863" s="133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GE863" s="133"/>
      <c r="GF863" s="133"/>
      <c r="GG863" s="133"/>
      <c r="GH863" s="133"/>
      <c r="GI863" s="133"/>
      <c r="GJ863" s="133"/>
      <c r="GK863" s="133"/>
      <c r="GL863" s="133"/>
      <c r="GM863" s="133"/>
      <c r="GN863" s="133"/>
      <c r="GO863" s="133"/>
      <c r="GP863" s="133"/>
      <c r="GQ863" s="133"/>
      <c r="GR863" s="133"/>
      <c r="GS863" s="133"/>
      <c r="GT863" s="133"/>
      <c r="GU863" s="133"/>
      <c r="GV863" s="133"/>
      <c r="GW863" s="133"/>
      <c r="GX863" s="133"/>
      <c r="GY863" s="133"/>
      <c r="GZ863" s="133"/>
      <c r="HA863" s="133"/>
      <c r="HB863" s="133"/>
      <c r="HC863" s="133"/>
      <c r="HD863" s="133"/>
      <c r="HE863" s="133"/>
      <c r="HF863" s="133"/>
      <c r="HG863" s="133"/>
      <c r="HH863" s="133"/>
      <c r="HI863" s="133"/>
      <c r="HJ863" s="133"/>
      <c r="HK863" s="133"/>
      <c r="HL863" s="133"/>
      <c r="HM863" s="133"/>
      <c r="HN863" s="133"/>
      <c r="HO863" s="133"/>
      <c r="HP863" s="133"/>
      <c r="HQ863" s="133"/>
      <c r="HR863" s="133"/>
      <c r="HS863" s="133"/>
      <c r="HT863" s="133"/>
      <c r="HU863" s="133"/>
      <c r="HV863" s="133"/>
      <c r="HW863" s="133"/>
      <c r="HX863" s="133"/>
      <c r="HY863" s="133"/>
      <c r="HZ863" s="133"/>
      <c r="IA863" s="133"/>
      <c r="IB863" s="133"/>
      <c r="IC863" s="133"/>
      <c r="ID863" s="133"/>
      <c r="IE863" s="133"/>
      <c r="IF863" s="133"/>
      <c r="IG863" s="133"/>
      <c r="IH863" s="133"/>
      <c r="II863" s="133"/>
      <c r="IJ863" s="133"/>
      <c r="IK863" s="133"/>
      <c r="IL863" s="133"/>
      <c r="IM863" s="133"/>
      <c r="IN863" s="133"/>
      <c r="IO863" s="133"/>
      <c r="IP863" s="133"/>
      <c r="IQ863" s="133"/>
      <c r="IR863" s="133"/>
      <c r="IS863" s="133"/>
      <c r="IT863" s="133"/>
      <c r="IU863" s="133"/>
      <c r="IV863" s="133"/>
    </row>
    <row r="864" spans="1:256" s="132" customFormat="1" ht="13.8">
      <c r="A864" s="133"/>
      <c r="B864" s="133"/>
      <c r="C864" s="133"/>
      <c r="D864" s="133"/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GE864" s="133"/>
      <c r="GF864" s="133"/>
      <c r="GG864" s="133"/>
      <c r="GH864" s="133"/>
      <c r="GI864" s="133"/>
      <c r="GJ864" s="133"/>
      <c r="GK864" s="133"/>
      <c r="GL864" s="133"/>
      <c r="GM864" s="133"/>
      <c r="GN864" s="133"/>
      <c r="GO864" s="133"/>
      <c r="GP864" s="133"/>
      <c r="GQ864" s="133"/>
      <c r="GR864" s="133"/>
      <c r="GS864" s="133"/>
      <c r="GT864" s="133"/>
      <c r="GU864" s="133"/>
      <c r="GV864" s="133"/>
      <c r="GW864" s="133"/>
      <c r="GX864" s="133"/>
      <c r="GY864" s="133"/>
      <c r="GZ864" s="133"/>
      <c r="HA864" s="133"/>
      <c r="HB864" s="133"/>
      <c r="HC864" s="133"/>
      <c r="HD864" s="133"/>
      <c r="HE864" s="133"/>
      <c r="HF864" s="133"/>
      <c r="HG864" s="133"/>
      <c r="HH864" s="133"/>
      <c r="HI864" s="133"/>
      <c r="HJ864" s="133"/>
      <c r="HK864" s="133"/>
      <c r="HL864" s="133"/>
      <c r="HM864" s="133"/>
      <c r="HN864" s="133"/>
      <c r="HO864" s="133"/>
      <c r="HP864" s="133"/>
      <c r="HQ864" s="133"/>
      <c r="HR864" s="133"/>
      <c r="HS864" s="133"/>
      <c r="HT864" s="133"/>
      <c r="HU864" s="133"/>
      <c r="HV864" s="133"/>
      <c r="HW864" s="133"/>
      <c r="HX864" s="133"/>
      <c r="HY864" s="133"/>
      <c r="HZ864" s="133"/>
      <c r="IA864" s="133"/>
      <c r="IB864" s="133"/>
      <c r="IC864" s="133"/>
      <c r="ID864" s="133"/>
      <c r="IE864" s="133"/>
      <c r="IF864" s="133"/>
      <c r="IG864" s="133"/>
      <c r="IH864" s="133"/>
      <c r="II864" s="133"/>
      <c r="IJ864" s="133"/>
      <c r="IK864" s="133"/>
      <c r="IL864" s="133"/>
      <c r="IM864" s="133"/>
      <c r="IN864" s="133"/>
      <c r="IO864" s="133"/>
      <c r="IP864" s="133"/>
      <c r="IQ864" s="133"/>
      <c r="IR864" s="133"/>
      <c r="IS864" s="133"/>
      <c r="IT864" s="133"/>
      <c r="IU864" s="133"/>
      <c r="IV864" s="133"/>
    </row>
    <row r="865" spans="1:256" s="132" customFormat="1" ht="13.8">
      <c r="A865" s="133"/>
      <c r="B865" s="133"/>
      <c r="C865" s="133"/>
      <c r="D865" s="133"/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GE865" s="133"/>
      <c r="GF865" s="133"/>
      <c r="GG865" s="133"/>
      <c r="GH865" s="133"/>
      <c r="GI865" s="133"/>
      <c r="GJ865" s="133"/>
      <c r="GK865" s="133"/>
      <c r="GL865" s="133"/>
      <c r="GM865" s="133"/>
      <c r="GN865" s="133"/>
      <c r="GO865" s="133"/>
      <c r="GP865" s="133"/>
      <c r="GQ865" s="133"/>
      <c r="GR865" s="133"/>
      <c r="GS865" s="133"/>
      <c r="GT865" s="133"/>
      <c r="GU865" s="133"/>
      <c r="GV865" s="133"/>
      <c r="GW865" s="133"/>
      <c r="GX865" s="133"/>
      <c r="GY865" s="133"/>
      <c r="GZ865" s="133"/>
      <c r="HA865" s="133"/>
      <c r="HB865" s="133"/>
      <c r="HC865" s="133"/>
      <c r="HD865" s="133"/>
      <c r="HE865" s="133"/>
      <c r="HF865" s="133"/>
      <c r="HG865" s="133"/>
      <c r="HH865" s="133"/>
      <c r="HI865" s="133"/>
      <c r="HJ865" s="133"/>
      <c r="HK865" s="133"/>
      <c r="HL865" s="133"/>
      <c r="HM865" s="133"/>
      <c r="HN865" s="133"/>
      <c r="HO865" s="133"/>
      <c r="HP865" s="133"/>
      <c r="HQ865" s="133"/>
      <c r="HR865" s="133"/>
      <c r="HS865" s="133"/>
      <c r="HT865" s="133"/>
      <c r="HU865" s="133"/>
      <c r="HV865" s="133"/>
      <c r="HW865" s="133"/>
      <c r="HX865" s="133"/>
      <c r="HY865" s="133"/>
      <c r="HZ865" s="133"/>
      <c r="IA865" s="133"/>
      <c r="IB865" s="133"/>
      <c r="IC865" s="133"/>
      <c r="ID865" s="133"/>
      <c r="IE865" s="133"/>
      <c r="IF865" s="133"/>
      <c r="IG865" s="133"/>
      <c r="IH865" s="133"/>
      <c r="II865" s="133"/>
      <c r="IJ865" s="133"/>
      <c r="IK865" s="133"/>
      <c r="IL865" s="133"/>
      <c r="IM865" s="133"/>
      <c r="IN865" s="133"/>
      <c r="IO865" s="133"/>
      <c r="IP865" s="133"/>
      <c r="IQ865" s="133"/>
      <c r="IR865" s="133"/>
      <c r="IS865" s="133"/>
      <c r="IT865" s="133"/>
      <c r="IU865" s="133"/>
      <c r="IV865" s="133"/>
    </row>
    <row r="866" spans="1:256" s="132" customFormat="1" ht="13.8">
      <c r="A866" s="133"/>
      <c r="B866" s="133"/>
      <c r="C866" s="133"/>
      <c r="D866" s="133"/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GE866" s="133"/>
      <c r="GF866" s="133"/>
      <c r="GG866" s="133"/>
      <c r="GH866" s="133"/>
      <c r="GI866" s="133"/>
      <c r="GJ866" s="133"/>
      <c r="GK866" s="133"/>
      <c r="GL866" s="133"/>
      <c r="GM866" s="133"/>
      <c r="GN866" s="133"/>
      <c r="GO866" s="133"/>
      <c r="GP866" s="133"/>
      <c r="GQ866" s="133"/>
      <c r="GR866" s="133"/>
      <c r="GS866" s="133"/>
      <c r="GT866" s="133"/>
      <c r="GU866" s="133"/>
      <c r="GV866" s="133"/>
      <c r="GW866" s="133"/>
      <c r="GX866" s="133"/>
      <c r="GY866" s="133"/>
      <c r="GZ866" s="133"/>
      <c r="HA866" s="133"/>
      <c r="HB866" s="133"/>
      <c r="HC866" s="133"/>
      <c r="HD866" s="133"/>
      <c r="HE866" s="133"/>
      <c r="HF866" s="133"/>
      <c r="HG866" s="133"/>
      <c r="HH866" s="133"/>
      <c r="HI866" s="133"/>
      <c r="HJ866" s="133"/>
      <c r="HK866" s="133"/>
      <c r="HL866" s="133"/>
      <c r="HM866" s="133"/>
      <c r="HN866" s="133"/>
      <c r="HO866" s="133"/>
      <c r="HP866" s="133"/>
      <c r="HQ866" s="133"/>
      <c r="HR866" s="133"/>
      <c r="HS866" s="133"/>
      <c r="HT866" s="133"/>
      <c r="HU866" s="133"/>
      <c r="HV866" s="133"/>
      <c r="HW866" s="133"/>
      <c r="HX866" s="133"/>
      <c r="HY866" s="133"/>
      <c r="HZ866" s="133"/>
      <c r="IA866" s="133"/>
      <c r="IB866" s="133"/>
      <c r="IC866" s="133"/>
      <c r="ID866" s="133"/>
      <c r="IE866" s="133"/>
      <c r="IF866" s="133"/>
      <c r="IG866" s="133"/>
      <c r="IH866" s="133"/>
      <c r="II866" s="133"/>
      <c r="IJ866" s="133"/>
      <c r="IK866" s="133"/>
      <c r="IL866" s="133"/>
      <c r="IM866" s="133"/>
      <c r="IN866" s="133"/>
      <c r="IO866" s="133"/>
      <c r="IP866" s="133"/>
      <c r="IQ866" s="133"/>
      <c r="IR866" s="133"/>
      <c r="IS866" s="133"/>
      <c r="IT866" s="133"/>
      <c r="IU866" s="133"/>
      <c r="IV866" s="133"/>
    </row>
    <row r="867" spans="1:256" s="132" customFormat="1" ht="13.8">
      <c r="A867" s="133"/>
      <c r="B867" s="133"/>
      <c r="C867" s="133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GE867" s="133"/>
      <c r="GF867" s="133"/>
      <c r="GG867" s="133"/>
      <c r="GH867" s="133"/>
      <c r="GI867" s="133"/>
      <c r="GJ867" s="133"/>
      <c r="GK867" s="133"/>
      <c r="GL867" s="133"/>
      <c r="GM867" s="133"/>
      <c r="GN867" s="133"/>
      <c r="GO867" s="133"/>
      <c r="GP867" s="133"/>
      <c r="GQ867" s="133"/>
      <c r="GR867" s="133"/>
      <c r="GS867" s="133"/>
      <c r="GT867" s="133"/>
      <c r="GU867" s="133"/>
      <c r="GV867" s="133"/>
      <c r="GW867" s="133"/>
      <c r="GX867" s="133"/>
      <c r="GY867" s="133"/>
      <c r="GZ867" s="133"/>
      <c r="HA867" s="133"/>
      <c r="HB867" s="133"/>
      <c r="HC867" s="133"/>
      <c r="HD867" s="133"/>
      <c r="HE867" s="133"/>
      <c r="HF867" s="133"/>
      <c r="HG867" s="133"/>
      <c r="HH867" s="133"/>
      <c r="HI867" s="133"/>
      <c r="HJ867" s="133"/>
      <c r="HK867" s="133"/>
      <c r="HL867" s="133"/>
      <c r="HM867" s="133"/>
      <c r="HN867" s="133"/>
      <c r="HO867" s="133"/>
      <c r="HP867" s="133"/>
      <c r="HQ867" s="133"/>
      <c r="HR867" s="133"/>
      <c r="HS867" s="133"/>
      <c r="HT867" s="133"/>
      <c r="HU867" s="133"/>
      <c r="HV867" s="133"/>
      <c r="HW867" s="133"/>
      <c r="HX867" s="133"/>
      <c r="HY867" s="133"/>
      <c r="HZ867" s="133"/>
      <c r="IA867" s="133"/>
      <c r="IB867" s="133"/>
      <c r="IC867" s="133"/>
      <c r="ID867" s="133"/>
      <c r="IE867" s="133"/>
      <c r="IF867" s="133"/>
      <c r="IG867" s="133"/>
      <c r="IH867" s="133"/>
      <c r="II867" s="133"/>
      <c r="IJ867" s="133"/>
      <c r="IK867" s="133"/>
      <c r="IL867" s="133"/>
      <c r="IM867" s="133"/>
      <c r="IN867" s="133"/>
      <c r="IO867" s="133"/>
      <c r="IP867" s="133"/>
      <c r="IQ867" s="133"/>
      <c r="IR867" s="133"/>
      <c r="IS867" s="133"/>
      <c r="IT867" s="133"/>
      <c r="IU867" s="133"/>
      <c r="IV867" s="133"/>
    </row>
    <row r="868" spans="1:256" s="132" customFormat="1" ht="13.8">
      <c r="A868" s="133"/>
      <c r="B868" s="133"/>
      <c r="C868" s="133"/>
      <c r="D868" s="133"/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GE868" s="133"/>
      <c r="GF868" s="133"/>
      <c r="GG868" s="133"/>
      <c r="GH868" s="133"/>
      <c r="GI868" s="133"/>
      <c r="GJ868" s="133"/>
      <c r="GK868" s="133"/>
      <c r="GL868" s="133"/>
      <c r="GM868" s="133"/>
      <c r="GN868" s="133"/>
      <c r="GO868" s="133"/>
      <c r="GP868" s="133"/>
      <c r="GQ868" s="133"/>
      <c r="GR868" s="133"/>
      <c r="GS868" s="133"/>
      <c r="GT868" s="133"/>
      <c r="GU868" s="133"/>
      <c r="GV868" s="133"/>
      <c r="GW868" s="133"/>
      <c r="GX868" s="133"/>
      <c r="GY868" s="133"/>
      <c r="GZ868" s="133"/>
      <c r="HA868" s="133"/>
      <c r="HB868" s="133"/>
      <c r="HC868" s="133"/>
      <c r="HD868" s="133"/>
      <c r="HE868" s="133"/>
      <c r="HF868" s="133"/>
      <c r="HG868" s="133"/>
      <c r="HH868" s="133"/>
      <c r="HI868" s="133"/>
      <c r="HJ868" s="133"/>
      <c r="HK868" s="133"/>
      <c r="HL868" s="133"/>
      <c r="HM868" s="133"/>
      <c r="HN868" s="133"/>
      <c r="HO868" s="133"/>
      <c r="HP868" s="133"/>
      <c r="HQ868" s="133"/>
      <c r="HR868" s="133"/>
      <c r="HS868" s="133"/>
      <c r="HT868" s="133"/>
      <c r="HU868" s="133"/>
      <c r="HV868" s="133"/>
      <c r="HW868" s="133"/>
      <c r="HX868" s="133"/>
      <c r="HY868" s="133"/>
      <c r="HZ868" s="133"/>
      <c r="IA868" s="133"/>
      <c r="IB868" s="133"/>
      <c r="IC868" s="133"/>
      <c r="ID868" s="133"/>
      <c r="IE868" s="133"/>
      <c r="IF868" s="133"/>
      <c r="IG868" s="133"/>
      <c r="IH868" s="133"/>
      <c r="II868" s="133"/>
      <c r="IJ868" s="133"/>
      <c r="IK868" s="133"/>
      <c r="IL868" s="133"/>
      <c r="IM868" s="133"/>
      <c r="IN868" s="133"/>
      <c r="IO868" s="133"/>
      <c r="IP868" s="133"/>
      <c r="IQ868" s="133"/>
      <c r="IR868" s="133"/>
      <c r="IS868" s="133"/>
      <c r="IT868" s="133"/>
      <c r="IU868" s="133"/>
      <c r="IV868" s="133"/>
    </row>
    <row r="869" spans="1:256" s="132" customFormat="1" ht="13.8">
      <c r="A869" s="133"/>
      <c r="B869" s="133"/>
      <c r="C869" s="133"/>
      <c r="D869" s="133"/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GE869" s="133"/>
      <c r="GF869" s="133"/>
      <c r="GG869" s="133"/>
      <c r="GH869" s="133"/>
      <c r="GI869" s="133"/>
      <c r="GJ869" s="133"/>
      <c r="GK869" s="133"/>
      <c r="GL869" s="133"/>
      <c r="GM869" s="133"/>
      <c r="GN869" s="133"/>
      <c r="GO869" s="133"/>
      <c r="GP869" s="133"/>
      <c r="GQ869" s="133"/>
      <c r="GR869" s="133"/>
      <c r="GS869" s="133"/>
      <c r="GT869" s="133"/>
      <c r="GU869" s="133"/>
      <c r="GV869" s="133"/>
      <c r="GW869" s="133"/>
      <c r="GX869" s="133"/>
      <c r="GY869" s="133"/>
      <c r="GZ869" s="133"/>
      <c r="HA869" s="133"/>
      <c r="HB869" s="133"/>
      <c r="HC869" s="133"/>
      <c r="HD869" s="133"/>
      <c r="HE869" s="133"/>
      <c r="HF869" s="133"/>
      <c r="HG869" s="133"/>
      <c r="HH869" s="133"/>
      <c r="HI869" s="133"/>
      <c r="HJ869" s="133"/>
      <c r="HK869" s="133"/>
      <c r="HL869" s="133"/>
      <c r="HM869" s="133"/>
      <c r="HN869" s="133"/>
      <c r="HO869" s="133"/>
      <c r="HP869" s="133"/>
      <c r="HQ869" s="133"/>
      <c r="HR869" s="133"/>
      <c r="HS869" s="133"/>
      <c r="HT869" s="133"/>
      <c r="HU869" s="133"/>
      <c r="HV869" s="133"/>
      <c r="HW869" s="133"/>
      <c r="HX869" s="133"/>
      <c r="HY869" s="133"/>
      <c r="HZ869" s="133"/>
      <c r="IA869" s="133"/>
      <c r="IB869" s="133"/>
      <c r="IC869" s="133"/>
      <c r="ID869" s="133"/>
      <c r="IE869" s="133"/>
      <c r="IF869" s="133"/>
      <c r="IG869" s="133"/>
      <c r="IH869" s="133"/>
      <c r="II869" s="133"/>
      <c r="IJ869" s="133"/>
      <c r="IK869" s="133"/>
      <c r="IL869" s="133"/>
      <c r="IM869" s="133"/>
      <c r="IN869" s="133"/>
      <c r="IO869" s="133"/>
      <c r="IP869" s="133"/>
      <c r="IQ869" s="133"/>
      <c r="IR869" s="133"/>
      <c r="IS869" s="133"/>
      <c r="IT869" s="133"/>
      <c r="IU869" s="133"/>
      <c r="IV869" s="133"/>
    </row>
    <row r="870" spans="1:256" s="132" customFormat="1" ht="13.8">
      <c r="A870" s="133"/>
      <c r="B870" s="133"/>
      <c r="C870" s="133"/>
      <c r="D870" s="133"/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GE870" s="133"/>
      <c r="GF870" s="133"/>
      <c r="GG870" s="133"/>
      <c r="GH870" s="133"/>
      <c r="GI870" s="133"/>
      <c r="GJ870" s="133"/>
      <c r="GK870" s="133"/>
      <c r="GL870" s="133"/>
      <c r="GM870" s="133"/>
      <c r="GN870" s="133"/>
      <c r="GO870" s="133"/>
      <c r="GP870" s="133"/>
      <c r="GQ870" s="133"/>
      <c r="GR870" s="133"/>
      <c r="GS870" s="133"/>
      <c r="GT870" s="133"/>
      <c r="GU870" s="133"/>
      <c r="GV870" s="133"/>
      <c r="GW870" s="133"/>
      <c r="GX870" s="133"/>
      <c r="GY870" s="133"/>
      <c r="GZ870" s="133"/>
      <c r="HA870" s="133"/>
      <c r="HB870" s="133"/>
      <c r="HC870" s="133"/>
      <c r="HD870" s="133"/>
      <c r="HE870" s="133"/>
      <c r="HF870" s="133"/>
      <c r="HG870" s="133"/>
      <c r="HH870" s="133"/>
      <c r="HI870" s="133"/>
      <c r="HJ870" s="133"/>
      <c r="HK870" s="133"/>
      <c r="HL870" s="133"/>
      <c r="HM870" s="133"/>
      <c r="HN870" s="133"/>
      <c r="HO870" s="133"/>
      <c r="HP870" s="133"/>
      <c r="HQ870" s="133"/>
      <c r="HR870" s="133"/>
      <c r="HS870" s="133"/>
      <c r="HT870" s="133"/>
      <c r="HU870" s="133"/>
      <c r="HV870" s="133"/>
      <c r="HW870" s="133"/>
      <c r="HX870" s="133"/>
      <c r="HY870" s="133"/>
      <c r="HZ870" s="133"/>
      <c r="IA870" s="133"/>
      <c r="IB870" s="133"/>
      <c r="IC870" s="133"/>
      <c r="ID870" s="133"/>
      <c r="IE870" s="133"/>
      <c r="IF870" s="133"/>
      <c r="IG870" s="133"/>
      <c r="IH870" s="133"/>
      <c r="II870" s="133"/>
      <c r="IJ870" s="133"/>
      <c r="IK870" s="133"/>
      <c r="IL870" s="133"/>
      <c r="IM870" s="133"/>
      <c r="IN870" s="133"/>
      <c r="IO870" s="133"/>
      <c r="IP870" s="133"/>
      <c r="IQ870" s="133"/>
      <c r="IR870" s="133"/>
      <c r="IS870" s="133"/>
      <c r="IT870" s="133"/>
      <c r="IU870" s="133"/>
      <c r="IV870" s="133"/>
    </row>
    <row r="871" spans="1:256" s="132" customFormat="1" ht="13.8">
      <c r="A871" s="133"/>
      <c r="B871" s="133"/>
      <c r="C871" s="133"/>
      <c r="D871" s="133"/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GE871" s="133"/>
      <c r="GF871" s="133"/>
      <c r="GG871" s="133"/>
      <c r="GH871" s="133"/>
      <c r="GI871" s="133"/>
      <c r="GJ871" s="133"/>
      <c r="GK871" s="133"/>
      <c r="GL871" s="133"/>
      <c r="GM871" s="133"/>
      <c r="GN871" s="133"/>
      <c r="GO871" s="133"/>
      <c r="GP871" s="133"/>
      <c r="GQ871" s="133"/>
      <c r="GR871" s="133"/>
      <c r="GS871" s="133"/>
      <c r="GT871" s="133"/>
      <c r="GU871" s="133"/>
      <c r="GV871" s="133"/>
      <c r="GW871" s="133"/>
      <c r="GX871" s="133"/>
      <c r="GY871" s="133"/>
      <c r="GZ871" s="133"/>
      <c r="HA871" s="133"/>
      <c r="HB871" s="133"/>
      <c r="HC871" s="133"/>
      <c r="HD871" s="133"/>
      <c r="HE871" s="133"/>
      <c r="HF871" s="133"/>
      <c r="HG871" s="133"/>
      <c r="HH871" s="133"/>
      <c r="HI871" s="133"/>
      <c r="HJ871" s="133"/>
      <c r="HK871" s="133"/>
      <c r="HL871" s="133"/>
      <c r="HM871" s="133"/>
      <c r="HN871" s="133"/>
      <c r="HO871" s="133"/>
      <c r="HP871" s="133"/>
      <c r="HQ871" s="133"/>
      <c r="HR871" s="133"/>
      <c r="HS871" s="133"/>
      <c r="HT871" s="133"/>
      <c r="HU871" s="133"/>
      <c r="HV871" s="133"/>
      <c r="HW871" s="133"/>
      <c r="HX871" s="133"/>
      <c r="HY871" s="133"/>
      <c r="HZ871" s="133"/>
      <c r="IA871" s="133"/>
      <c r="IB871" s="133"/>
      <c r="IC871" s="133"/>
      <c r="ID871" s="133"/>
      <c r="IE871" s="133"/>
      <c r="IF871" s="133"/>
      <c r="IG871" s="133"/>
      <c r="IH871" s="133"/>
      <c r="II871" s="133"/>
      <c r="IJ871" s="133"/>
      <c r="IK871" s="133"/>
      <c r="IL871" s="133"/>
      <c r="IM871" s="133"/>
      <c r="IN871" s="133"/>
      <c r="IO871" s="133"/>
      <c r="IP871" s="133"/>
      <c r="IQ871" s="133"/>
      <c r="IR871" s="133"/>
      <c r="IS871" s="133"/>
      <c r="IT871" s="133"/>
      <c r="IU871" s="133"/>
      <c r="IV871" s="133"/>
    </row>
    <row r="872" spans="1:256" s="132" customFormat="1" ht="13.8">
      <c r="A872" s="133"/>
      <c r="B872" s="133"/>
      <c r="C872" s="133"/>
      <c r="D872" s="133"/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GE872" s="133"/>
      <c r="GF872" s="133"/>
      <c r="GG872" s="133"/>
      <c r="GH872" s="133"/>
      <c r="GI872" s="133"/>
      <c r="GJ872" s="133"/>
      <c r="GK872" s="133"/>
      <c r="GL872" s="133"/>
      <c r="GM872" s="133"/>
      <c r="GN872" s="133"/>
      <c r="GO872" s="133"/>
      <c r="GP872" s="133"/>
      <c r="GQ872" s="133"/>
      <c r="GR872" s="133"/>
      <c r="GS872" s="133"/>
      <c r="GT872" s="133"/>
      <c r="GU872" s="133"/>
      <c r="GV872" s="133"/>
      <c r="GW872" s="133"/>
      <c r="GX872" s="133"/>
      <c r="GY872" s="133"/>
      <c r="GZ872" s="133"/>
      <c r="HA872" s="133"/>
      <c r="HB872" s="133"/>
      <c r="HC872" s="133"/>
      <c r="HD872" s="133"/>
      <c r="HE872" s="133"/>
      <c r="HF872" s="133"/>
      <c r="HG872" s="133"/>
      <c r="HH872" s="133"/>
      <c r="HI872" s="133"/>
      <c r="HJ872" s="133"/>
      <c r="HK872" s="133"/>
      <c r="HL872" s="133"/>
      <c r="HM872" s="133"/>
      <c r="HN872" s="133"/>
      <c r="HO872" s="133"/>
      <c r="HP872" s="133"/>
      <c r="HQ872" s="133"/>
      <c r="HR872" s="133"/>
      <c r="HS872" s="133"/>
      <c r="HT872" s="133"/>
      <c r="HU872" s="133"/>
      <c r="HV872" s="133"/>
      <c r="HW872" s="133"/>
      <c r="HX872" s="133"/>
      <c r="HY872" s="133"/>
      <c r="HZ872" s="133"/>
      <c r="IA872" s="133"/>
      <c r="IB872" s="133"/>
      <c r="IC872" s="133"/>
      <c r="ID872" s="133"/>
      <c r="IE872" s="133"/>
      <c r="IF872" s="133"/>
      <c r="IG872" s="133"/>
      <c r="IH872" s="133"/>
      <c r="II872" s="133"/>
      <c r="IJ872" s="133"/>
      <c r="IK872" s="133"/>
      <c r="IL872" s="133"/>
      <c r="IM872" s="133"/>
      <c r="IN872" s="133"/>
      <c r="IO872" s="133"/>
      <c r="IP872" s="133"/>
      <c r="IQ872" s="133"/>
      <c r="IR872" s="133"/>
      <c r="IS872" s="133"/>
      <c r="IT872" s="133"/>
      <c r="IU872" s="133"/>
      <c r="IV872" s="133"/>
    </row>
    <row r="873" spans="1:256" s="132" customFormat="1" ht="13.8">
      <c r="A873" s="133"/>
      <c r="B873" s="133"/>
      <c r="C873" s="133"/>
      <c r="D873" s="133"/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GE873" s="133"/>
      <c r="GF873" s="133"/>
      <c r="GG873" s="133"/>
      <c r="GH873" s="133"/>
      <c r="GI873" s="133"/>
      <c r="GJ873" s="133"/>
      <c r="GK873" s="133"/>
      <c r="GL873" s="133"/>
      <c r="GM873" s="133"/>
      <c r="GN873" s="133"/>
      <c r="GO873" s="133"/>
      <c r="GP873" s="133"/>
      <c r="GQ873" s="133"/>
      <c r="GR873" s="133"/>
      <c r="GS873" s="133"/>
      <c r="GT873" s="133"/>
      <c r="GU873" s="133"/>
      <c r="GV873" s="133"/>
      <c r="GW873" s="133"/>
      <c r="GX873" s="133"/>
      <c r="GY873" s="133"/>
      <c r="GZ873" s="133"/>
      <c r="HA873" s="133"/>
      <c r="HB873" s="133"/>
      <c r="HC873" s="133"/>
      <c r="HD873" s="133"/>
      <c r="HE873" s="133"/>
      <c r="HF873" s="133"/>
      <c r="HG873" s="133"/>
      <c r="HH873" s="133"/>
      <c r="HI873" s="133"/>
      <c r="HJ873" s="133"/>
      <c r="HK873" s="133"/>
      <c r="HL873" s="133"/>
      <c r="HM873" s="133"/>
      <c r="HN873" s="133"/>
      <c r="HO873" s="133"/>
      <c r="HP873" s="133"/>
      <c r="HQ873" s="133"/>
      <c r="HR873" s="133"/>
      <c r="HS873" s="133"/>
      <c r="HT873" s="133"/>
      <c r="HU873" s="133"/>
      <c r="HV873" s="133"/>
      <c r="HW873" s="133"/>
      <c r="HX873" s="133"/>
      <c r="HY873" s="133"/>
      <c r="HZ873" s="133"/>
      <c r="IA873" s="133"/>
      <c r="IB873" s="133"/>
      <c r="IC873" s="133"/>
      <c r="ID873" s="133"/>
      <c r="IE873" s="133"/>
      <c r="IF873" s="133"/>
      <c r="IG873" s="133"/>
      <c r="IH873" s="133"/>
      <c r="II873" s="133"/>
      <c r="IJ873" s="133"/>
      <c r="IK873" s="133"/>
      <c r="IL873" s="133"/>
      <c r="IM873" s="133"/>
      <c r="IN873" s="133"/>
      <c r="IO873" s="133"/>
      <c r="IP873" s="133"/>
      <c r="IQ873" s="133"/>
      <c r="IR873" s="133"/>
      <c r="IS873" s="133"/>
      <c r="IT873" s="133"/>
      <c r="IU873" s="133"/>
      <c r="IV873" s="133"/>
    </row>
    <row r="874" spans="1:256" s="132" customFormat="1" ht="13.8">
      <c r="A874" s="133"/>
      <c r="B874" s="133"/>
      <c r="C874" s="133"/>
      <c r="D874" s="133"/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GE874" s="133"/>
      <c r="GF874" s="133"/>
      <c r="GG874" s="133"/>
      <c r="GH874" s="133"/>
      <c r="GI874" s="133"/>
      <c r="GJ874" s="133"/>
      <c r="GK874" s="133"/>
      <c r="GL874" s="133"/>
      <c r="GM874" s="133"/>
      <c r="GN874" s="133"/>
      <c r="GO874" s="133"/>
      <c r="GP874" s="133"/>
      <c r="GQ874" s="133"/>
      <c r="GR874" s="133"/>
      <c r="GS874" s="133"/>
      <c r="GT874" s="133"/>
      <c r="GU874" s="133"/>
      <c r="GV874" s="133"/>
      <c r="GW874" s="133"/>
      <c r="GX874" s="133"/>
      <c r="GY874" s="133"/>
      <c r="GZ874" s="133"/>
      <c r="HA874" s="133"/>
      <c r="HB874" s="133"/>
      <c r="HC874" s="133"/>
      <c r="HD874" s="133"/>
      <c r="HE874" s="133"/>
      <c r="HF874" s="133"/>
      <c r="HG874" s="133"/>
      <c r="HH874" s="133"/>
      <c r="HI874" s="133"/>
      <c r="HJ874" s="133"/>
      <c r="HK874" s="133"/>
      <c r="HL874" s="133"/>
      <c r="HM874" s="133"/>
      <c r="HN874" s="133"/>
      <c r="HO874" s="133"/>
      <c r="HP874" s="133"/>
      <c r="HQ874" s="133"/>
      <c r="HR874" s="133"/>
      <c r="HS874" s="133"/>
      <c r="HT874" s="133"/>
      <c r="HU874" s="133"/>
      <c r="HV874" s="133"/>
      <c r="HW874" s="133"/>
      <c r="HX874" s="133"/>
      <c r="HY874" s="133"/>
      <c r="HZ874" s="133"/>
      <c r="IA874" s="133"/>
      <c r="IB874" s="133"/>
      <c r="IC874" s="133"/>
      <c r="ID874" s="133"/>
      <c r="IE874" s="133"/>
      <c r="IF874" s="133"/>
      <c r="IG874" s="133"/>
      <c r="IH874" s="133"/>
      <c r="II874" s="133"/>
      <c r="IJ874" s="133"/>
      <c r="IK874" s="133"/>
      <c r="IL874" s="133"/>
      <c r="IM874" s="133"/>
      <c r="IN874" s="133"/>
      <c r="IO874" s="133"/>
      <c r="IP874" s="133"/>
      <c r="IQ874" s="133"/>
      <c r="IR874" s="133"/>
      <c r="IS874" s="133"/>
      <c r="IT874" s="133"/>
      <c r="IU874" s="133"/>
      <c r="IV874" s="133"/>
    </row>
    <row r="875" spans="1:256" s="132" customFormat="1" ht="13.8">
      <c r="A875" s="133"/>
      <c r="B875" s="133"/>
      <c r="C875" s="133"/>
      <c r="D875" s="133"/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GE875" s="133"/>
      <c r="GF875" s="133"/>
      <c r="GG875" s="133"/>
      <c r="GH875" s="133"/>
      <c r="GI875" s="133"/>
      <c r="GJ875" s="133"/>
      <c r="GK875" s="133"/>
      <c r="GL875" s="133"/>
      <c r="GM875" s="133"/>
      <c r="GN875" s="133"/>
      <c r="GO875" s="133"/>
      <c r="GP875" s="133"/>
      <c r="GQ875" s="133"/>
      <c r="GR875" s="133"/>
      <c r="GS875" s="133"/>
      <c r="GT875" s="133"/>
      <c r="GU875" s="133"/>
      <c r="GV875" s="133"/>
      <c r="GW875" s="133"/>
      <c r="GX875" s="133"/>
      <c r="GY875" s="133"/>
      <c r="GZ875" s="133"/>
      <c r="HA875" s="133"/>
      <c r="HB875" s="133"/>
      <c r="HC875" s="133"/>
      <c r="HD875" s="133"/>
      <c r="HE875" s="133"/>
      <c r="HF875" s="133"/>
      <c r="HG875" s="133"/>
      <c r="HH875" s="133"/>
      <c r="HI875" s="133"/>
      <c r="HJ875" s="133"/>
      <c r="HK875" s="133"/>
      <c r="HL875" s="133"/>
      <c r="HM875" s="133"/>
      <c r="HN875" s="133"/>
      <c r="HO875" s="133"/>
      <c r="HP875" s="133"/>
      <c r="HQ875" s="133"/>
      <c r="HR875" s="133"/>
      <c r="HS875" s="133"/>
      <c r="HT875" s="133"/>
      <c r="HU875" s="133"/>
      <c r="HV875" s="133"/>
      <c r="HW875" s="133"/>
      <c r="HX875" s="133"/>
      <c r="HY875" s="133"/>
      <c r="HZ875" s="133"/>
      <c r="IA875" s="133"/>
      <c r="IB875" s="133"/>
      <c r="IC875" s="133"/>
      <c r="ID875" s="133"/>
      <c r="IE875" s="133"/>
      <c r="IF875" s="133"/>
      <c r="IG875" s="133"/>
      <c r="IH875" s="133"/>
      <c r="II875" s="133"/>
      <c r="IJ875" s="133"/>
      <c r="IK875" s="133"/>
      <c r="IL875" s="133"/>
      <c r="IM875" s="133"/>
      <c r="IN875" s="133"/>
      <c r="IO875" s="133"/>
      <c r="IP875" s="133"/>
      <c r="IQ875" s="133"/>
      <c r="IR875" s="133"/>
      <c r="IS875" s="133"/>
      <c r="IT875" s="133"/>
      <c r="IU875" s="133"/>
      <c r="IV875" s="133"/>
    </row>
    <row r="876" spans="1:256" s="132" customFormat="1" ht="13.8">
      <c r="A876" s="133"/>
      <c r="B876" s="133"/>
      <c r="C876" s="133"/>
      <c r="D876" s="133"/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GE876" s="133"/>
      <c r="GF876" s="133"/>
      <c r="GG876" s="133"/>
      <c r="GH876" s="133"/>
      <c r="GI876" s="133"/>
      <c r="GJ876" s="133"/>
      <c r="GK876" s="133"/>
      <c r="GL876" s="133"/>
      <c r="GM876" s="133"/>
      <c r="GN876" s="133"/>
      <c r="GO876" s="133"/>
      <c r="GP876" s="133"/>
      <c r="GQ876" s="133"/>
      <c r="GR876" s="133"/>
      <c r="GS876" s="133"/>
      <c r="GT876" s="133"/>
      <c r="GU876" s="133"/>
      <c r="GV876" s="133"/>
      <c r="GW876" s="133"/>
      <c r="GX876" s="133"/>
      <c r="GY876" s="133"/>
      <c r="GZ876" s="133"/>
      <c r="HA876" s="133"/>
      <c r="HB876" s="133"/>
      <c r="HC876" s="133"/>
      <c r="HD876" s="133"/>
      <c r="HE876" s="133"/>
      <c r="HF876" s="133"/>
      <c r="HG876" s="133"/>
      <c r="HH876" s="133"/>
      <c r="HI876" s="133"/>
      <c r="HJ876" s="133"/>
      <c r="HK876" s="133"/>
      <c r="HL876" s="133"/>
      <c r="HM876" s="133"/>
      <c r="HN876" s="133"/>
      <c r="HO876" s="133"/>
      <c r="HP876" s="133"/>
      <c r="HQ876" s="133"/>
      <c r="HR876" s="133"/>
      <c r="HS876" s="133"/>
      <c r="HT876" s="133"/>
      <c r="HU876" s="133"/>
      <c r="HV876" s="133"/>
      <c r="HW876" s="133"/>
      <c r="HX876" s="133"/>
      <c r="HY876" s="133"/>
      <c r="HZ876" s="133"/>
      <c r="IA876" s="133"/>
      <c r="IB876" s="133"/>
      <c r="IC876" s="133"/>
      <c r="ID876" s="133"/>
      <c r="IE876" s="133"/>
      <c r="IF876" s="133"/>
      <c r="IG876" s="133"/>
      <c r="IH876" s="133"/>
      <c r="II876" s="133"/>
      <c r="IJ876" s="133"/>
      <c r="IK876" s="133"/>
      <c r="IL876" s="133"/>
      <c r="IM876" s="133"/>
      <c r="IN876" s="133"/>
      <c r="IO876" s="133"/>
      <c r="IP876" s="133"/>
      <c r="IQ876" s="133"/>
      <c r="IR876" s="133"/>
      <c r="IS876" s="133"/>
      <c r="IT876" s="133"/>
      <c r="IU876" s="133"/>
      <c r="IV876" s="133"/>
    </row>
    <row r="877" spans="1:256" s="132" customFormat="1" ht="13.8">
      <c r="A877" s="133"/>
      <c r="B877" s="133"/>
      <c r="C877" s="133"/>
      <c r="D877" s="133"/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GE877" s="133"/>
      <c r="GF877" s="133"/>
      <c r="GG877" s="133"/>
      <c r="GH877" s="133"/>
      <c r="GI877" s="133"/>
      <c r="GJ877" s="133"/>
      <c r="GK877" s="133"/>
      <c r="GL877" s="133"/>
      <c r="GM877" s="133"/>
      <c r="GN877" s="133"/>
      <c r="GO877" s="133"/>
      <c r="GP877" s="133"/>
      <c r="GQ877" s="133"/>
      <c r="GR877" s="133"/>
      <c r="GS877" s="133"/>
      <c r="GT877" s="133"/>
      <c r="GU877" s="133"/>
      <c r="GV877" s="133"/>
      <c r="GW877" s="133"/>
      <c r="GX877" s="133"/>
      <c r="GY877" s="133"/>
      <c r="GZ877" s="133"/>
      <c r="HA877" s="133"/>
      <c r="HB877" s="133"/>
      <c r="HC877" s="133"/>
      <c r="HD877" s="133"/>
      <c r="HE877" s="133"/>
      <c r="HF877" s="133"/>
      <c r="HG877" s="133"/>
      <c r="HH877" s="133"/>
      <c r="HI877" s="133"/>
      <c r="HJ877" s="133"/>
      <c r="HK877" s="133"/>
      <c r="HL877" s="133"/>
      <c r="HM877" s="133"/>
      <c r="HN877" s="133"/>
      <c r="HO877" s="133"/>
      <c r="HP877" s="133"/>
      <c r="HQ877" s="133"/>
      <c r="HR877" s="133"/>
      <c r="HS877" s="133"/>
      <c r="HT877" s="133"/>
      <c r="HU877" s="133"/>
      <c r="HV877" s="133"/>
      <c r="HW877" s="133"/>
      <c r="HX877" s="133"/>
      <c r="HY877" s="133"/>
      <c r="HZ877" s="133"/>
      <c r="IA877" s="133"/>
      <c r="IB877" s="133"/>
      <c r="IC877" s="133"/>
      <c r="ID877" s="133"/>
      <c r="IE877" s="133"/>
      <c r="IF877" s="133"/>
      <c r="IG877" s="133"/>
      <c r="IH877" s="133"/>
      <c r="II877" s="133"/>
      <c r="IJ877" s="133"/>
      <c r="IK877" s="133"/>
      <c r="IL877" s="133"/>
      <c r="IM877" s="133"/>
      <c r="IN877" s="133"/>
      <c r="IO877" s="133"/>
      <c r="IP877" s="133"/>
      <c r="IQ877" s="133"/>
      <c r="IR877" s="133"/>
      <c r="IS877" s="133"/>
      <c r="IT877" s="133"/>
      <c r="IU877" s="133"/>
      <c r="IV877" s="133"/>
    </row>
    <row r="878" spans="1:256" s="132" customFormat="1" ht="13.8">
      <c r="A878" s="133"/>
      <c r="B878" s="133"/>
      <c r="C878" s="133"/>
      <c r="D878" s="133"/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GE878" s="133"/>
      <c r="GF878" s="133"/>
      <c r="GG878" s="133"/>
      <c r="GH878" s="133"/>
      <c r="GI878" s="133"/>
      <c r="GJ878" s="133"/>
      <c r="GK878" s="133"/>
      <c r="GL878" s="133"/>
      <c r="GM878" s="133"/>
      <c r="GN878" s="133"/>
      <c r="GO878" s="133"/>
      <c r="GP878" s="133"/>
      <c r="GQ878" s="133"/>
      <c r="GR878" s="133"/>
      <c r="GS878" s="133"/>
      <c r="GT878" s="133"/>
      <c r="GU878" s="133"/>
      <c r="GV878" s="133"/>
      <c r="GW878" s="133"/>
      <c r="GX878" s="133"/>
      <c r="GY878" s="133"/>
      <c r="GZ878" s="133"/>
      <c r="HA878" s="133"/>
      <c r="HB878" s="133"/>
      <c r="HC878" s="133"/>
      <c r="HD878" s="133"/>
      <c r="HE878" s="133"/>
      <c r="HF878" s="133"/>
      <c r="HG878" s="133"/>
      <c r="HH878" s="133"/>
      <c r="HI878" s="133"/>
      <c r="HJ878" s="133"/>
      <c r="HK878" s="133"/>
      <c r="HL878" s="133"/>
      <c r="HM878" s="133"/>
      <c r="HN878" s="133"/>
      <c r="HO878" s="133"/>
      <c r="HP878" s="133"/>
      <c r="HQ878" s="133"/>
      <c r="HR878" s="133"/>
      <c r="HS878" s="133"/>
      <c r="HT878" s="133"/>
      <c r="HU878" s="133"/>
      <c r="HV878" s="133"/>
      <c r="HW878" s="133"/>
      <c r="HX878" s="133"/>
      <c r="HY878" s="133"/>
      <c r="HZ878" s="133"/>
      <c r="IA878" s="133"/>
      <c r="IB878" s="133"/>
      <c r="IC878" s="133"/>
      <c r="ID878" s="133"/>
      <c r="IE878" s="133"/>
      <c r="IF878" s="133"/>
      <c r="IG878" s="133"/>
      <c r="IH878" s="133"/>
      <c r="II878" s="133"/>
      <c r="IJ878" s="133"/>
      <c r="IK878" s="133"/>
      <c r="IL878" s="133"/>
      <c r="IM878" s="133"/>
      <c r="IN878" s="133"/>
      <c r="IO878" s="133"/>
      <c r="IP878" s="133"/>
      <c r="IQ878" s="133"/>
      <c r="IR878" s="133"/>
      <c r="IS878" s="133"/>
      <c r="IT878" s="133"/>
      <c r="IU878" s="133"/>
      <c r="IV878" s="133"/>
    </row>
    <row r="879" spans="1:256" s="132" customFormat="1" ht="13.8">
      <c r="A879" s="133"/>
      <c r="B879" s="133"/>
      <c r="C879" s="133"/>
      <c r="D879" s="133"/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GE879" s="133"/>
      <c r="GF879" s="133"/>
      <c r="GG879" s="133"/>
      <c r="GH879" s="133"/>
      <c r="GI879" s="133"/>
      <c r="GJ879" s="133"/>
      <c r="GK879" s="133"/>
      <c r="GL879" s="133"/>
      <c r="GM879" s="133"/>
      <c r="GN879" s="133"/>
      <c r="GO879" s="133"/>
      <c r="GP879" s="133"/>
      <c r="GQ879" s="133"/>
      <c r="GR879" s="133"/>
      <c r="GS879" s="133"/>
      <c r="GT879" s="133"/>
      <c r="GU879" s="133"/>
      <c r="GV879" s="133"/>
      <c r="GW879" s="133"/>
      <c r="GX879" s="133"/>
      <c r="GY879" s="133"/>
      <c r="GZ879" s="133"/>
      <c r="HA879" s="133"/>
      <c r="HB879" s="133"/>
      <c r="HC879" s="133"/>
      <c r="HD879" s="133"/>
      <c r="HE879" s="133"/>
      <c r="HF879" s="133"/>
      <c r="HG879" s="133"/>
      <c r="HH879" s="133"/>
      <c r="HI879" s="133"/>
      <c r="HJ879" s="133"/>
      <c r="HK879" s="133"/>
      <c r="HL879" s="133"/>
      <c r="HM879" s="133"/>
      <c r="HN879" s="133"/>
      <c r="HO879" s="133"/>
      <c r="HP879" s="133"/>
      <c r="HQ879" s="133"/>
      <c r="HR879" s="133"/>
      <c r="HS879" s="133"/>
      <c r="HT879" s="133"/>
      <c r="HU879" s="133"/>
      <c r="HV879" s="133"/>
      <c r="HW879" s="133"/>
      <c r="HX879" s="133"/>
      <c r="HY879" s="133"/>
      <c r="HZ879" s="133"/>
      <c r="IA879" s="133"/>
      <c r="IB879" s="133"/>
      <c r="IC879" s="133"/>
      <c r="ID879" s="133"/>
      <c r="IE879" s="133"/>
      <c r="IF879" s="133"/>
      <c r="IG879" s="133"/>
      <c r="IH879" s="133"/>
      <c r="II879" s="133"/>
      <c r="IJ879" s="133"/>
      <c r="IK879" s="133"/>
      <c r="IL879" s="133"/>
      <c r="IM879" s="133"/>
      <c r="IN879" s="133"/>
      <c r="IO879" s="133"/>
      <c r="IP879" s="133"/>
      <c r="IQ879" s="133"/>
      <c r="IR879" s="133"/>
      <c r="IS879" s="133"/>
      <c r="IT879" s="133"/>
      <c r="IU879" s="133"/>
      <c r="IV879" s="133"/>
    </row>
    <row r="880" spans="1:256" s="132" customFormat="1" ht="13.8">
      <c r="A880" s="133"/>
      <c r="B880" s="133"/>
      <c r="C880" s="133"/>
      <c r="D880" s="133"/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GE880" s="133"/>
      <c r="GF880" s="133"/>
      <c r="GG880" s="133"/>
      <c r="GH880" s="133"/>
      <c r="GI880" s="133"/>
      <c r="GJ880" s="133"/>
      <c r="GK880" s="133"/>
      <c r="GL880" s="133"/>
      <c r="GM880" s="133"/>
      <c r="GN880" s="133"/>
      <c r="GO880" s="133"/>
      <c r="GP880" s="133"/>
      <c r="GQ880" s="133"/>
      <c r="GR880" s="133"/>
      <c r="GS880" s="133"/>
      <c r="GT880" s="133"/>
      <c r="GU880" s="133"/>
      <c r="GV880" s="133"/>
      <c r="GW880" s="133"/>
      <c r="GX880" s="133"/>
      <c r="GY880" s="133"/>
      <c r="GZ880" s="133"/>
      <c r="HA880" s="133"/>
      <c r="HB880" s="133"/>
      <c r="HC880" s="133"/>
      <c r="HD880" s="133"/>
      <c r="HE880" s="133"/>
      <c r="HF880" s="133"/>
      <c r="HG880" s="133"/>
      <c r="HH880" s="133"/>
      <c r="HI880" s="133"/>
      <c r="HJ880" s="133"/>
      <c r="HK880" s="133"/>
      <c r="HL880" s="133"/>
      <c r="HM880" s="133"/>
      <c r="HN880" s="133"/>
      <c r="HO880" s="133"/>
      <c r="HP880" s="133"/>
      <c r="HQ880" s="133"/>
      <c r="HR880" s="133"/>
      <c r="HS880" s="133"/>
      <c r="HT880" s="133"/>
      <c r="HU880" s="133"/>
      <c r="HV880" s="133"/>
      <c r="HW880" s="133"/>
      <c r="HX880" s="133"/>
      <c r="HY880" s="133"/>
      <c r="HZ880" s="133"/>
      <c r="IA880" s="133"/>
      <c r="IB880" s="133"/>
      <c r="IC880" s="133"/>
      <c r="ID880" s="133"/>
      <c r="IE880" s="133"/>
      <c r="IF880" s="133"/>
      <c r="IG880" s="133"/>
      <c r="IH880" s="133"/>
      <c r="II880" s="133"/>
      <c r="IJ880" s="133"/>
      <c r="IK880" s="133"/>
      <c r="IL880" s="133"/>
      <c r="IM880" s="133"/>
      <c r="IN880" s="133"/>
      <c r="IO880" s="133"/>
      <c r="IP880" s="133"/>
      <c r="IQ880" s="133"/>
      <c r="IR880" s="133"/>
      <c r="IS880" s="133"/>
      <c r="IT880" s="133"/>
      <c r="IU880" s="133"/>
      <c r="IV880" s="133"/>
    </row>
    <row r="881" spans="1:256" s="132" customFormat="1" ht="13.8">
      <c r="A881" s="133"/>
      <c r="B881" s="133"/>
      <c r="C881" s="133"/>
      <c r="D881" s="133"/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GE881" s="133"/>
      <c r="GF881" s="133"/>
      <c r="GG881" s="133"/>
      <c r="GH881" s="133"/>
      <c r="GI881" s="133"/>
      <c r="GJ881" s="133"/>
      <c r="GK881" s="133"/>
      <c r="GL881" s="133"/>
      <c r="GM881" s="133"/>
      <c r="GN881" s="133"/>
      <c r="GO881" s="133"/>
      <c r="GP881" s="133"/>
      <c r="GQ881" s="133"/>
      <c r="GR881" s="133"/>
      <c r="GS881" s="133"/>
      <c r="GT881" s="133"/>
      <c r="GU881" s="133"/>
      <c r="GV881" s="133"/>
      <c r="GW881" s="133"/>
      <c r="GX881" s="133"/>
      <c r="GY881" s="133"/>
      <c r="GZ881" s="133"/>
      <c r="HA881" s="133"/>
      <c r="HB881" s="133"/>
      <c r="HC881" s="133"/>
      <c r="HD881" s="133"/>
      <c r="HE881" s="133"/>
      <c r="HF881" s="133"/>
      <c r="HG881" s="133"/>
      <c r="HH881" s="133"/>
      <c r="HI881" s="133"/>
      <c r="HJ881" s="133"/>
      <c r="HK881" s="133"/>
      <c r="HL881" s="133"/>
      <c r="HM881" s="133"/>
      <c r="HN881" s="133"/>
      <c r="HO881" s="133"/>
      <c r="HP881" s="133"/>
      <c r="HQ881" s="133"/>
      <c r="HR881" s="133"/>
      <c r="HS881" s="133"/>
      <c r="HT881" s="133"/>
      <c r="HU881" s="133"/>
      <c r="HV881" s="133"/>
      <c r="HW881" s="133"/>
      <c r="HX881" s="133"/>
      <c r="HY881" s="133"/>
      <c r="HZ881" s="133"/>
      <c r="IA881" s="133"/>
      <c r="IB881" s="133"/>
      <c r="IC881" s="133"/>
      <c r="ID881" s="133"/>
      <c r="IE881" s="133"/>
      <c r="IF881" s="133"/>
      <c r="IG881" s="133"/>
      <c r="IH881" s="133"/>
      <c r="II881" s="133"/>
      <c r="IJ881" s="133"/>
      <c r="IK881" s="133"/>
      <c r="IL881" s="133"/>
      <c r="IM881" s="133"/>
      <c r="IN881" s="133"/>
      <c r="IO881" s="133"/>
      <c r="IP881" s="133"/>
      <c r="IQ881" s="133"/>
      <c r="IR881" s="133"/>
      <c r="IS881" s="133"/>
      <c r="IT881" s="133"/>
      <c r="IU881" s="133"/>
      <c r="IV881" s="133"/>
    </row>
    <row r="882" spans="1:256" s="132" customFormat="1" ht="13.8">
      <c r="A882" s="133"/>
      <c r="B882" s="133"/>
      <c r="C882" s="133"/>
      <c r="D882" s="133"/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GE882" s="133"/>
      <c r="GF882" s="133"/>
      <c r="GG882" s="133"/>
      <c r="GH882" s="133"/>
      <c r="GI882" s="133"/>
      <c r="GJ882" s="133"/>
      <c r="GK882" s="133"/>
      <c r="GL882" s="133"/>
      <c r="GM882" s="133"/>
      <c r="GN882" s="133"/>
      <c r="GO882" s="133"/>
      <c r="GP882" s="133"/>
      <c r="GQ882" s="133"/>
      <c r="GR882" s="133"/>
      <c r="GS882" s="133"/>
      <c r="GT882" s="133"/>
      <c r="GU882" s="133"/>
      <c r="GV882" s="133"/>
      <c r="GW882" s="133"/>
      <c r="GX882" s="133"/>
      <c r="GY882" s="133"/>
      <c r="GZ882" s="133"/>
      <c r="HA882" s="133"/>
      <c r="HB882" s="133"/>
      <c r="HC882" s="133"/>
      <c r="HD882" s="133"/>
      <c r="HE882" s="133"/>
      <c r="HF882" s="133"/>
      <c r="HG882" s="133"/>
      <c r="HH882" s="133"/>
      <c r="HI882" s="133"/>
      <c r="HJ882" s="133"/>
      <c r="HK882" s="133"/>
      <c r="HL882" s="133"/>
      <c r="HM882" s="133"/>
      <c r="HN882" s="133"/>
      <c r="HO882" s="133"/>
      <c r="HP882" s="133"/>
      <c r="HQ882" s="133"/>
      <c r="HR882" s="133"/>
      <c r="HS882" s="133"/>
      <c r="HT882" s="133"/>
      <c r="HU882" s="133"/>
      <c r="HV882" s="133"/>
      <c r="HW882" s="133"/>
      <c r="HX882" s="133"/>
      <c r="HY882" s="133"/>
      <c r="HZ882" s="133"/>
      <c r="IA882" s="133"/>
      <c r="IB882" s="133"/>
      <c r="IC882" s="133"/>
      <c r="ID882" s="133"/>
      <c r="IE882" s="133"/>
      <c r="IF882" s="133"/>
      <c r="IG882" s="133"/>
      <c r="IH882" s="133"/>
      <c r="II882" s="133"/>
      <c r="IJ882" s="133"/>
      <c r="IK882" s="133"/>
      <c r="IL882" s="133"/>
      <c r="IM882" s="133"/>
      <c r="IN882" s="133"/>
      <c r="IO882" s="133"/>
      <c r="IP882" s="133"/>
      <c r="IQ882" s="133"/>
      <c r="IR882" s="133"/>
      <c r="IS882" s="133"/>
      <c r="IT882" s="133"/>
      <c r="IU882" s="133"/>
      <c r="IV882" s="133"/>
    </row>
    <row r="883" spans="1:256" s="132" customFormat="1" ht="13.8">
      <c r="A883" s="133"/>
      <c r="B883" s="133"/>
      <c r="C883" s="133"/>
      <c r="D883" s="133"/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GE883" s="133"/>
      <c r="GF883" s="133"/>
      <c r="GG883" s="133"/>
      <c r="GH883" s="133"/>
      <c r="GI883" s="133"/>
      <c r="GJ883" s="133"/>
      <c r="GK883" s="133"/>
      <c r="GL883" s="133"/>
      <c r="GM883" s="133"/>
      <c r="GN883" s="133"/>
      <c r="GO883" s="133"/>
      <c r="GP883" s="133"/>
      <c r="GQ883" s="133"/>
      <c r="GR883" s="133"/>
      <c r="GS883" s="133"/>
      <c r="GT883" s="133"/>
      <c r="GU883" s="133"/>
      <c r="GV883" s="133"/>
      <c r="GW883" s="133"/>
      <c r="GX883" s="133"/>
      <c r="GY883" s="133"/>
      <c r="GZ883" s="133"/>
      <c r="HA883" s="133"/>
      <c r="HB883" s="133"/>
      <c r="HC883" s="133"/>
      <c r="HD883" s="133"/>
      <c r="HE883" s="133"/>
      <c r="HF883" s="133"/>
      <c r="HG883" s="133"/>
      <c r="HH883" s="133"/>
      <c r="HI883" s="133"/>
      <c r="HJ883" s="133"/>
      <c r="HK883" s="133"/>
      <c r="HL883" s="133"/>
      <c r="HM883" s="133"/>
      <c r="HN883" s="133"/>
      <c r="HO883" s="133"/>
      <c r="HP883" s="133"/>
      <c r="HQ883" s="133"/>
      <c r="HR883" s="133"/>
      <c r="HS883" s="133"/>
      <c r="HT883" s="133"/>
      <c r="HU883" s="133"/>
      <c r="HV883" s="133"/>
      <c r="HW883" s="133"/>
      <c r="HX883" s="133"/>
      <c r="HY883" s="133"/>
      <c r="HZ883" s="133"/>
      <c r="IA883" s="133"/>
      <c r="IB883" s="133"/>
      <c r="IC883" s="133"/>
      <c r="ID883" s="133"/>
      <c r="IE883" s="133"/>
      <c r="IF883" s="133"/>
      <c r="IG883" s="133"/>
      <c r="IH883" s="133"/>
      <c r="II883" s="133"/>
      <c r="IJ883" s="133"/>
      <c r="IK883" s="133"/>
      <c r="IL883" s="133"/>
      <c r="IM883" s="133"/>
      <c r="IN883" s="133"/>
      <c r="IO883" s="133"/>
      <c r="IP883" s="133"/>
      <c r="IQ883" s="133"/>
      <c r="IR883" s="133"/>
      <c r="IS883" s="133"/>
      <c r="IT883" s="133"/>
      <c r="IU883" s="133"/>
      <c r="IV883" s="133"/>
    </row>
    <row r="884" spans="1:256" s="132" customFormat="1" ht="13.8">
      <c r="A884" s="133"/>
      <c r="B884" s="133"/>
      <c r="C884" s="133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GE884" s="133"/>
      <c r="GF884" s="133"/>
      <c r="GG884" s="133"/>
      <c r="GH884" s="133"/>
      <c r="GI884" s="133"/>
      <c r="GJ884" s="133"/>
      <c r="GK884" s="133"/>
      <c r="GL884" s="133"/>
      <c r="GM884" s="133"/>
      <c r="GN884" s="133"/>
      <c r="GO884" s="133"/>
      <c r="GP884" s="133"/>
      <c r="GQ884" s="133"/>
      <c r="GR884" s="133"/>
      <c r="GS884" s="133"/>
      <c r="GT884" s="133"/>
      <c r="GU884" s="133"/>
      <c r="GV884" s="133"/>
      <c r="GW884" s="133"/>
      <c r="GX884" s="133"/>
      <c r="GY884" s="133"/>
      <c r="GZ884" s="133"/>
      <c r="HA884" s="133"/>
      <c r="HB884" s="133"/>
      <c r="HC884" s="133"/>
      <c r="HD884" s="133"/>
      <c r="HE884" s="133"/>
      <c r="HF884" s="133"/>
      <c r="HG884" s="133"/>
      <c r="HH884" s="133"/>
      <c r="HI884" s="133"/>
      <c r="HJ884" s="133"/>
      <c r="HK884" s="133"/>
      <c r="HL884" s="133"/>
      <c r="HM884" s="133"/>
      <c r="HN884" s="133"/>
      <c r="HO884" s="133"/>
      <c r="HP884" s="133"/>
      <c r="HQ884" s="133"/>
      <c r="HR884" s="133"/>
      <c r="HS884" s="133"/>
      <c r="HT884" s="133"/>
      <c r="HU884" s="133"/>
      <c r="HV884" s="133"/>
      <c r="HW884" s="133"/>
      <c r="HX884" s="133"/>
      <c r="HY884" s="133"/>
      <c r="HZ884" s="133"/>
      <c r="IA884" s="133"/>
      <c r="IB884" s="133"/>
      <c r="IC884" s="133"/>
      <c r="ID884" s="133"/>
      <c r="IE884" s="133"/>
      <c r="IF884" s="133"/>
      <c r="IG884" s="133"/>
      <c r="IH884" s="133"/>
      <c r="II884" s="133"/>
      <c r="IJ884" s="133"/>
      <c r="IK884" s="133"/>
      <c r="IL884" s="133"/>
      <c r="IM884" s="133"/>
      <c r="IN884" s="133"/>
      <c r="IO884" s="133"/>
      <c r="IP884" s="133"/>
      <c r="IQ884" s="133"/>
      <c r="IR884" s="133"/>
      <c r="IS884" s="133"/>
      <c r="IT884" s="133"/>
      <c r="IU884" s="133"/>
      <c r="IV884" s="133"/>
    </row>
    <row r="885" spans="1:256" s="132" customFormat="1" ht="13.8">
      <c r="A885" s="133"/>
      <c r="B885" s="133"/>
      <c r="C885" s="133"/>
      <c r="D885" s="133"/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GE885" s="133"/>
      <c r="GF885" s="133"/>
      <c r="GG885" s="133"/>
      <c r="GH885" s="133"/>
      <c r="GI885" s="133"/>
      <c r="GJ885" s="133"/>
      <c r="GK885" s="133"/>
      <c r="GL885" s="133"/>
      <c r="GM885" s="133"/>
      <c r="GN885" s="133"/>
      <c r="GO885" s="133"/>
      <c r="GP885" s="133"/>
      <c r="GQ885" s="133"/>
      <c r="GR885" s="133"/>
      <c r="GS885" s="133"/>
      <c r="GT885" s="133"/>
      <c r="GU885" s="133"/>
      <c r="GV885" s="133"/>
      <c r="GW885" s="133"/>
      <c r="GX885" s="133"/>
      <c r="GY885" s="133"/>
      <c r="GZ885" s="133"/>
      <c r="HA885" s="133"/>
      <c r="HB885" s="133"/>
      <c r="HC885" s="133"/>
      <c r="HD885" s="133"/>
      <c r="HE885" s="133"/>
      <c r="HF885" s="133"/>
      <c r="HG885" s="133"/>
      <c r="HH885" s="133"/>
      <c r="HI885" s="133"/>
      <c r="HJ885" s="133"/>
      <c r="HK885" s="133"/>
      <c r="HL885" s="133"/>
      <c r="HM885" s="133"/>
      <c r="HN885" s="133"/>
      <c r="HO885" s="133"/>
      <c r="HP885" s="133"/>
      <c r="HQ885" s="133"/>
      <c r="HR885" s="133"/>
      <c r="HS885" s="133"/>
      <c r="HT885" s="133"/>
      <c r="HU885" s="133"/>
      <c r="HV885" s="133"/>
      <c r="HW885" s="133"/>
      <c r="HX885" s="133"/>
      <c r="HY885" s="133"/>
      <c r="HZ885" s="133"/>
      <c r="IA885" s="133"/>
      <c r="IB885" s="133"/>
      <c r="IC885" s="133"/>
      <c r="ID885" s="133"/>
      <c r="IE885" s="133"/>
      <c r="IF885" s="133"/>
      <c r="IG885" s="133"/>
      <c r="IH885" s="133"/>
      <c r="II885" s="133"/>
      <c r="IJ885" s="133"/>
      <c r="IK885" s="133"/>
      <c r="IL885" s="133"/>
      <c r="IM885" s="133"/>
      <c r="IN885" s="133"/>
      <c r="IO885" s="133"/>
      <c r="IP885" s="133"/>
      <c r="IQ885" s="133"/>
      <c r="IR885" s="133"/>
      <c r="IS885" s="133"/>
      <c r="IT885" s="133"/>
      <c r="IU885" s="133"/>
      <c r="IV885" s="133"/>
    </row>
    <row r="886" spans="1:256" s="132" customFormat="1" ht="13.8">
      <c r="A886" s="133"/>
      <c r="B886" s="133"/>
      <c r="C886" s="133"/>
      <c r="D886" s="133"/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GE886" s="133"/>
      <c r="GF886" s="133"/>
      <c r="GG886" s="133"/>
      <c r="GH886" s="133"/>
      <c r="GI886" s="133"/>
      <c r="GJ886" s="133"/>
      <c r="GK886" s="133"/>
      <c r="GL886" s="133"/>
      <c r="GM886" s="133"/>
      <c r="GN886" s="133"/>
      <c r="GO886" s="133"/>
      <c r="GP886" s="133"/>
      <c r="GQ886" s="133"/>
      <c r="GR886" s="133"/>
      <c r="GS886" s="133"/>
      <c r="GT886" s="133"/>
      <c r="GU886" s="133"/>
      <c r="GV886" s="133"/>
      <c r="GW886" s="133"/>
      <c r="GX886" s="133"/>
      <c r="GY886" s="133"/>
      <c r="GZ886" s="133"/>
      <c r="HA886" s="133"/>
      <c r="HB886" s="133"/>
      <c r="HC886" s="133"/>
      <c r="HD886" s="133"/>
      <c r="HE886" s="133"/>
      <c r="HF886" s="133"/>
      <c r="HG886" s="133"/>
      <c r="HH886" s="133"/>
      <c r="HI886" s="133"/>
      <c r="HJ886" s="133"/>
      <c r="HK886" s="133"/>
      <c r="HL886" s="133"/>
      <c r="HM886" s="133"/>
      <c r="HN886" s="133"/>
      <c r="HO886" s="133"/>
      <c r="HP886" s="133"/>
      <c r="HQ886" s="133"/>
      <c r="HR886" s="133"/>
      <c r="HS886" s="133"/>
      <c r="HT886" s="133"/>
      <c r="HU886" s="133"/>
      <c r="HV886" s="133"/>
      <c r="HW886" s="133"/>
      <c r="HX886" s="133"/>
      <c r="HY886" s="133"/>
      <c r="HZ886" s="133"/>
      <c r="IA886" s="133"/>
      <c r="IB886" s="133"/>
      <c r="IC886" s="133"/>
      <c r="ID886" s="133"/>
      <c r="IE886" s="133"/>
      <c r="IF886" s="133"/>
      <c r="IG886" s="133"/>
      <c r="IH886" s="133"/>
      <c r="II886" s="133"/>
      <c r="IJ886" s="133"/>
      <c r="IK886" s="133"/>
      <c r="IL886" s="133"/>
      <c r="IM886" s="133"/>
      <c r="IN886" s="133"/>
      <c r="IO886" s="133"/>
      <c r="IP886" s="133"/>
      <c r="IQ886" s="133"/>
      <c r="IR886" s="133"/>
      <c r="IS886" s="133"/>
      <c r="IT886" s="133"/>
      <c r="IU886" s="133"/>
      <c r="IV886" s="133"/>
    </row>
    <row r="887" spans="1:256" s="132" customFormat="1" ht="13.8">
      <c r="A887" s="133"/>
      <c r="B887" s="133"/>
      <c r="C887" s="133"/>
      <c r="D887" s="133"/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GE887" s="133"/>
      <c r="GF887" s="133"/>
      <c r="GG887" s="133"/>
      <c r="GH887" s="133"/>
      <c r="GI887" s="133"/>
      <c r="GJ887" s="133"/>
      <c r="GK887" s="133"/>
      <c r="GL887" s="133"/>
      <c r="GM887" s="133"/>
      <c r="GN887" s="133"/>
      <c r="GO887" s="133"/>
      <c r="GP887" s="133"/>
      <c r="GQ887" s="133"/>
      <c r="GR887" s="133"/>
      <c r="GS887" s="133"/>
      <c r="GT887" s="133"/>
      <c r="GU887" s="133"/>
      <c r="GV887" s="133"/>
      <c r="GW887" s="133"/>
      <c r="GX887" s="133"/>
      <c r="GY887" s="133"/>
      <c r="GZ887" s="133"/>
      <c r="HA887" s="133"/>
      <c r="HB887" s="133"/>
      <c r="HC887" s="133"/>
      <c r="HD887" s="133"/>
      <c r="HE887" s="133"/>
      <c r="HF887" s="133"/>
      <c r="HG887" s="133"/>
      <c r="HH887" s="133"/>
      <c r="HI887" s="133"/>
      <c r="HJ887" s="133"/>
      <c r="HK887" s="133"/>
      <c r="HL887" s="133"/>
      <c r="HM887" s="133"/>
      <c r="HN887" s="133"/>
      <c r="HO887" s="133"/>
      <c r="HP887" s="133"/>
      <c r="HQ887" s="133"/>
      <c r="HR887" s="133"/>
      <c r="HS887" s="133"/>
      <c r="HT887" s="133"/>
      <c r="HU887" s="133"/>
      <c r="HV887" s="133"/>
      <c r="HW887" s="133"/>
      <c r="HX887" s="133"/>
      <c r="HY887" s="133"/>
      <c r="HZ887" s="133"/>
      <c r="IA887" s="133"/>
      <c r="IB887" s="133"/>
      <c r="IC887" s="133"/>
      <c r="ID887" s="133"/>
      <c r="IE887" s="133"/>
      <c r="IF887" s="133"/>
      <c r="IG887" s="133"/>
      <c r="IH887" s="133"/>
      <c r="II887" s="133"/>
      <c r="IJ887" s="133"/>
      <c r="IK887" s="133"/>
      <c r="IL887" s="133"/>
      <c r="IM887" s="133"/>
      <c r="IN887" s="133"/>
      <c r="IO887" s="133"/>
      <c r="IP887" s="133"/>
      <c r="IQ887" s="133"/>
      <c r="IR887" s="133"/>
      <c r="IS887" s="133"/>
      <c r="IT887" s="133"/>
      <c r="IU887" s="133"/>
      <c r="IV887" s="133"/>
    </row>
    <row r="888" spans="1:256" s="132" customFormat="1" ht="13.8">
      <c r="A888" s="133"/>
      <c r="B888" s="133"/>
      <c r="C888" s="133"/>
      <c r="D888" s="133"/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GE888" s="133"/>
      <c r="GF888" s="133"/>
      <c r="GG888" s="133"/>
      <c r="GH888" s="133"/>
      <c r="GI888" s="133"/>
      <c r="GJ888" s="133"/>
      <c r="GK888" s="133"/>
      <c r="GL888" s="133"/>
      <c r="GM888" s="133"/>
      <c r="GN888" s="133"/>
      <c r="GO888" s="133"/>
      <c r="GP888" s="133"/>
      <c r="GQ888" s="133"/>
      <c r="GR888" s="133"/>
      <c r="GS888" s="133"/>
      <c r="GT888" s="133"/>
      <c r="GU888" s="133"/>
      <c r="GV888" s="133"/>
      <c r="GW888" s="133"/>
      <c r="GX888" s="133"/>
      <c r="GY888" s="133"/>
      <c r="GZ888" s="133"/>
      <c r="HA888" s="133"/>
      <c r="HB888" s="133"/>
      <c r="HC888" s="133"/>
      <c r="HD888" s="133"/>
      <c r="HE888" s="133"/>
      <c r="HF888" s="133"/>
      <c r="HG888" s="133"/>
      <c r="HH888" s="133"/>
      <c r="HI888" s="133"/>
      <c r="HJ888" s="133"/>
      <c r="HK888" s="133"/>
      <c r="HL888" s="133"/>
      <c r="HM888" s="133"/>
      <c r="HN888" s="133"/>
      <c r="HO888" s="133"/>
      <c r="HP888" s="133"/>
      <c r="HQ888" s="133"/>
      <c r="HR888" s="133"/>
      <c r="HS888" s="133"/>
      <c r="HT888" s="133"/>
      <c r="HU888" s="133"/>
      <c r="HV888" s="133"/>
      <c r="HW888" s="133"/>
      <c r="HX888" s="133"/>
      <c r="HY888" s="133"/>
      <c r="HZ888" s="133"/>
      <c r="IA888" s="133"/>
      <c r="IB888" s="133"/>
      <c r="IC888" s="133"/>
      <c r="ID888" s="133"/>
      <c r="IE888" s="133"/>
      <c r="IF888" s="133"/>
      <c r="IG888" s="133"/>
      <c r="IH888" s="133"/>
      <c r="II888" s="133"/>
      <c r="IJ888" s="133"/>
      <c r="IK888" s="133"/>
      <c r="IL888" s="133"/>
      <c r="IM888" s="133"/>
      <c r="IN888" s="133"/>
      <c r="IO888" s="133"/>
      <c r="IP888" s="133"/>
      <c r="IQ888" s="133"/>
      <c r="IR888" s="133"/>
      <c r="IS888" s="133"/>
      <c r="IT888" s="133"/>
      <c r="IU888" s="133"/>
      <c r="IV888" s="133"/>
    </row>
    <row r="889" spans="1:256" s="132" customFormat="1" ht="13.8">
      <c r="A889" s="133"/>
      <c r="B889" s="133"/>
      <c r="C889" s="133"/>
      <c r="D889" s="133"/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GE889" s="133"/>
      <c r="GF889" s="133"/>
      <c r="GG889" s="133"/>
      <c r="GH889" s="133"/>
      <c r="GI889" s="133"/>
      <c r="GJ889" s="133"/>
      <c r="GK889" s="133"/>
      <c r="GL889" s="133"/>
      <c r="GM889" s="133"/>
      <c r="GN889" s="133"/>
      <c r="GO889" s="133"/>
      <c r="GP889" s="133"/>
      <c r="GQ889" s="133"/>
      <c r="GR889" s="133"/>
      <c r="GS889" s="133"/>
      <c r="GT889" s="133"/>
      <c r="GU889" s="133"/>
      <c r="GV889" s="133"/>
      <c r="GW889" s="133"/>
      <c r="GX889" s="133"/>
      <c r="GY889" s="133"/>
      <c r="GZ889" s="133"/>
      <c r="HA889" s="133"/>
      <c r="HB889" s="133"/>
      <c r="HC889" s="133"/>
      <c r="HD889" s="133"/>
      <c r="HE889" s="133"/>
      <c r="HF889" s="133"/>
      <c r="HG889" s="133"/>
      <c r="HH889" s="133"/>
      <c r="HI889" s="133"/>
      <c r="HJ889" s="133"/>
      <c r="HK889" s="133"/>
      <c r="HL889" s="133"/>
      <c r="HM889" s="133"/>
      <c r="HN889" s="133"/>
      <c r="HO889" s="133"/>
      <c r="HP889" s="133"/>
      <c r="HQ889" s="133"/>
      <c r="HR889" s="133"/>
      <c r="HS889" s="133"/>
      <c r="HT889" s="133"/>
      <c r="HU889" s="133"/>
      <c r="HV889" s="133"/>
      <c r="HW889" s="133"/>
      <c r="HX889" s="133"/>
      <c r="HY889" s="133"/>
      <c r="HZ889" s="133"/>
      <c r="IA889" s="133"/>
      <c r="IB889" s="133"/>
      <c r="IC889" s="133"/>
      <c r="ID889" s="133"/>
      <c r="IE889" s="133"/>
      <c r="IF889" s="133"/>
      <c r="IG889" s="133"/>
      <c r="IH889" s="133"/>
      <c r="II889" s="133"/>
      <c r="IJ889" s="133"/>
      <c r="IK889" s="133"/>
      <c r="IL889" s="133"/>
      <c r="IM889" s="133"/>
      <c r="IN889" s="133"/>
      <c r="IO889" s="133"/>
      <c r="IP889" s="133"/>
      <c r="IQ889" s="133"/>
      <c r="IR889" s="133"/>
      <c r="IS889" s="133"/>
      <c r="IT889" s="133"/>
      <c r="IU889" s="133"/>
      <c r="IV889" s="133"/>
    </row>
    <row r="890" spans="1:256" s="132" customFormat="1" ht="13.8">
      <c r="A890" s="133"/>
      <c r="B890" s="133"/>
      <c r="C890" s="133"/>
      <c r="D890" s="133"/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GE890" s="133"/>
      <c r="GF890" s="133"/>
      <c r="GG890" s="133"/>
      <c r="GH890" s="133"/>
      <c r="GI890" s="133"/>
      <c r="GJ890" s="133"/>
      <c r="GK890" s="133"/>
      <c r="GL890" s="133"/>
      <c r="GM890" s="133"/>
      <c r="GN890" s="133"/>
      <c r="GO890" s="133"/>
      <c r="GP890" s="133"/>
      <c r="GQ890" s="133"/>
      <c r="GR890" s="133"/>
      <c r="GS890" s="133"/>
      <c r="GT890" s="133"/>
      <c r="GU890" s="133"/>
      <c r="GV890" s="133"/>
      <c r="GW890" s="133"/>
      <c r="GX890" s="133"/>
      <c r="GY890" s="133"/>
      <c r="GZ890" s="133"/>
      <c r="HA890" s="133"/>
      <c r="HB890" s="133"/>
      <c r="HC890" s="133"/>
      <c r="HD890" s="133"/>
      <c r="HE890" s="133"/>
      <c r="HF890" s="133"/>
      <c r="HG890" s="133"/>
      <c r="HH890" s="133"/>
      <c r="HI890" s="133"/>
      <c r="HJ890" s="133"/>
      <c r="HK890" s="133"/>
      <c r="HL890" s="133"/>
      <c r="HM890" s="133"/>
      <c r="HN890" s="133"/>
      <c r="HO890" s="133"/>
      <c r="HP890" s="133"/>
      <c r="HQ890" s="133"/>
      <c r="HR890" s="133"/>
      <c r="HS890" s="133"/>
      <c r="HT890" s="133"/>
      <c r="HU890" s="133"/>
      <c r="HV890" s="133"/>
      <c r="HW890" s="133"/>
      <c r="HX890" s="133"/>
      <c r="HY890" s="133"/>
      <c r="HZ890" s="133"/>
      <c r="IA890" s="133"/>
      <c r="IB890" s="133"/>
      <c r="IC890" s="133"/>
      <c r="ID890" s="133"/>
      <c r="IE890" s="133"/>
      <c r="IF890" s="133"/>
      <c r="IG890" s="133"/>
      <c r="IH890" s="133"/>
      <c r="II890" s="133"/>
      <c r="IJ890" s="133"/>
      <c r="IK890" s="133"/>
      <c r="IL890" s="133"/>
      <c r="IM890" s="133"/>
      <c r="IN890" s="133"/>
      <c r="IO890" s="133"/>
      <c r="IP890" s="133"/>
      <c r="IQ890" s="133"/>
      <c r="IR890" s="133"/>
      <c r="IS890" s="133"/>
      <c r="IT890" s="133"/>
      <c r="IU890" s="133"/>
      <c r="IV890" s="133"/>
    </row>
    <row r="891" spans="1:256" s="132" customFormat="1" ht="13.8">
      <c r="A891" s="133"/>
      <c r="B891" s="133"/>
      <c r="C891" s="133"/>
      <c r="D891" s="133"/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GE891" s="133"/>
      <c r="GF891" s="133"/>
      <c r="GG891" s="133"/>
      <c r="GH891" s="133"/>
      <c r="GI891" s="133"/>
      <c r="GJ891" s="133"/>
      <c r="GK891" s="133"/>
      <c r="GL891" s="133"/>
      <c r="GM891" s="133"/>
      <c r="GN891" s="133"/>
      <c r="GO891" s="133"/>
      <c r="GP891" s="133"/>
      <c r="GQ891" s="133"/>
      <c r="GR891" s="133"/>
      <c r="GS891" s="133"/>
      <c r="GT891" s="133"/>
      <c r="GU891" s="133"/>
      <c r="GV891" s="133"/>
      <c r="GW891" s="133"/>
      <c r="GX891" s="133"/>
      <c r="GY891" s="133"/>
      <c r="GZ891" s="133"/>
      <c r="HA891" s="133"/>
      <c r="HB891" s="133"/>
      <c r="HC891" s="133"/>
      <c r="HD891" s="133"/>
      <c r="HE891" s="133"/>
      <c r="HF891" s="133"/>
      <c r="HG891" s="133"/>
      <c r="HH891" s="133"/>
      <c r="HI891" s="133"/>
      <c r="HJ891" s="133"/>
      <c r="HK891" s="133"/>
      <c r="HL891" s="133"/>
      <c r="HM891" s="133"/>
      <c r="HN891" s="133"/>
      <c r="HO891" s="133"/>
      <c r="HP891" s="133"/>
      <c r="HQ891" s="133"/>
      <c r="HR891" s="133"/>
      <c r="HS891" s="133"/>
      <c r="HT891" s="133"/>
      <c r="HU891" s="133"/>
      <c r="HV891" s="133"/>
      <c r="HW891" s="133"/>
      <c r="HX891" s="133"/>
      <c r="HY891" s="133"/>
      <c r="HZ891" s="133"/>
      <c r="IA891" s="133"/>
      <c r="IB891" s="133"/>
      <c r="IC891" s="133"/>
      <c r="ID891" s="133"/>
      <c r="IE891" s="133"/>
      <c r="IF891" s="133"/>
      <c r="IG891" s="133"/>
      <c r="IH891" s="133"/>
      <c r="II891" s="133"/>
      <c r="IJ891" s="133"/>
      <c r="IK891" s="133"/>
      <c r="IL891" s="133"/>
      <c r="IM891" s="133"/>
      <c r="IN891" s="133"/>
      <c r="IO891" s="133"/>
      <c r="IP891" s="133"/>
      <c r="IQ891" s="133"/>
      <c r="IR891" s="133"/>
      <c r="IS891" s="133"/>
      <c r="IT891" s="133"/>
      <c r="IU891" s="133"/>
      <c r="IV891" s="133"/>
    </row>
    <row r="892" spans="1:256" s="132" customFormat="1" ht="13.8">
      <c r="A892" s="133"/>
      <c r="B892" s="133"/>
      <c r="C892" s="133"/>
      <c r="D892" s="133"/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GE892" s="133"/>
      <c r="GF892" s="133"/>
      <c r="GG892" s="133"/>
      <c r="GH892" s="133"/>
      <c r="GI892" s="133"/>
      <c r="GJ892" s="133"/>
      <c r="GK892" s="133"/>
      <c r="GL892" s="133"/>
      <c r="GM892" s="133"/>
      <c r="GN892" s="133"/>
      <c r="GO892" s="133"/>
      <c r="GP892" s="133"/>
      <c r="GQ892" s="133"/>
      <c r="GR892" s="133"/>
      <c r="GS892" s="133"/>
      <c r="GT892" s="133"/>
      <c r="GU892" s="133"/>
      <c r="GV892" s="133"/>
      <c r="GW892" s="133"/>
      <c r="GX892" s="133"/>
      <c r="GY892" s="133"/>
      <c r="GZ892" s="133"/>
      <c r="HA892" s="133"/>
      <c r="HB892" s="133"/>
      <c r="HC892" s="133"/>
      <c r="HD892" s="133"/>
      <c r="HE892" s="133"/>
      <c r="HF892" s="133"/>
      <c r="HG892" s="133"/>
      <c r="HH892" s="133"/>
      <c r="HI892" s="133"/>
      <c r="HJ892" s="133"/>
      <c r="HK892" s="133"/>
      <c r="HL892" s="133"/>
      <c r="HM892" s="133"/>
      <c r="HN892" s="133"/>
      <c r="HO892" s="133"/>
      <c r="HP892" s="133"/>
      <c r="HQ892" s="133"/>
      <c r="HR892" s="133"/>
      <c r="HS892" s="133"/>
      <c r="HT892" s="133"/>
      <c r="HU892" s="133"/>
      <c r="HV892" s="133"/>
      <c r="HW892" s="133"/>
      <c r="HX892" s="133"/>
      <c r="HY892" s="133"/>
      <c r="HZ892" s="133"/>
      <c r="IA892" s="133"/>
      <c r="IB892" s="133"/>
      <c r="IC892" s="133"/>
      <c r="ID892" s="133"/>
      <c r="IE892" s="133"/>
      <c r="IF892" s="133"/>
      <c r="IG892" s="133"/>
      <c r="IH892" s="133"/>
      <c r="II892" s="133"/>
      <c r="IJ892" s="133"/>
      <c r="IK892" s="133"/>
      <c r="IL892" s="133"/>
      <c r="IM892" s="133"/>
      <c r="IN892" s="133"/>
      <c r="IO892" s="133"/>
      <c r="IP892" s="133"/>
      <c r="IQ892" s="133"/>
      <c r="IR892" s="133"/>
      <c r="IS892" s="133"/>
      <c r="IT892" s="133"/>
      <c r="IU892" s="133"/>
      <c r="IV892" s="133"/>
    </row>
    <row r="893" spans="1:256" s="132" customFormat="1" ht="13.8">
      <c r="A893" s="133"/>
      <c r="B893" s="133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GE893" s="133"/>
      <c r="GF893" s="133"/>
      <c r="GG893" s="133"/>
      <c r="GH893" s="133"/>
      <c r="GI893" s="133"/>
      <c r="GJ893" s="133"/>
      <c r="GK893" s="133"/>
      <c r="GL893" s="133"/>
      <c r="GM893" s="133"/>
      <c r="GN893" s="133"/>
      <c r="GO893" s="133"/>
      <c r="GP893" s="133"/>
      <c r="GQ893" s="133"/>
      <c r="GR893" s="133"/>
      <c r="GS893" s="133"/>
      <c r="GT893" s="133"/>
      <c r="GU893" s="133"/>
      <c r="GV893" s="133"/>
      <c r="GW893" s="133"/>
      <c r="GX893" s="133"/>
      <c r="GY893" s="133"/>
      <c r="GZ893" s="133"/>
      <c r="HA893" s="133"/>
      <c r="HB893" s="133"/>
      <c r="HC893" s="133"/>
      <c r="HD893" s="133"/>
      <c r="HE893" s="133"/>
      <c r="HF893" s="133"/>
      <c r="HG893" s="133"/>
      <c r="HH893" s="133"/>
      <c r="HI893" s="133"/>
      <c r="HJ893" s="133"/>
      <c r="HK893" s="133"/>
      <c r="HL893" s="133"/>
      <c r="HM893" s="133"/>
      <c r="HN893" s="133"/>
      <c r="HO893" s="133"/>
      <c r="HP893" s="133"/>
      <c r="HQ893" s="133"/>
      <c r="HR893" s="133"/>
      <c r="HS893" s="133"/>
      <c r="HT893" s="133"/>
      <c r="HU893" s="133"/>
      <c r="HV893" s="133"/>
      <c r="HW893" s="133"/>
      <c r="HX893" s="133"/>
      <c r="HY893" s="133"/>
      <c r="HZ893" s="133"/>
      <c r="IA893" s="133"/>
      <c r="IB893" s="133"/>
      <c r="IC893" s="133"/>
      <c r="ID893" s="133"/>
      <c r="IE893" s="133"/>
      <c r="IF893" s="133"/>
      <c r="IG893" s="133"/>
      <c r="IH893" s="133"/>
      <c r="II893" s="133"/>
      <c r="IJ893" s="133"/>
      <c r="IK893" s="133"/>
      <c r="IL893" s="133"/>
      <c r="IM893" s="133"/>
      <c r="IN893" s="133"/>
      <c r="IO893" s="133"/>
      <c r="IP893" s="133"/>
      <c r="IQ893" s="133"/>
      <c r="IR893" s="133"/>
      <c r="IS893" s="133"/>
      <c r="IT893" s="133"/>
      <c r="IU893" s="133"/>
      <c r="IV893" s="133"/>
    </row>
    <row r="894" spans="1:256" s="132" customFormat="1" ht="13.8">
      <c r="A894" s="133"/>
      <c r="B894" s="133"/>
      <c r="C894" s="133"/>
      <c r="D894" s="133"/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GE894" s="133"/>
      <c r="GF894" s="133"/>
      <c r="GG894" s="133"/>
      <c r="GH894" s="133"/>
      <c r="GI894" s="133"/>
      <c r="GJ894" s="133"/>
      <c r="GK894" s="133"/>
      <c r="GL894" s="133"/>
      <c r="GM894" s="133"/>
      <c r="GN894" s="133"/>
      <c r="GO894" s="133"/>
      <c r="GP894" s="133"/>
      <c r="GQ894" s="133"/>
      <c r="GR894" s="133"/>
      <c r="GS894" s="133"/>
      <c r="GT894" s="133"/>
      <c r="GU894" s="133"/>
      <c r="GV894" s="133"/>
      <c r="GW894" s="133"/>
      <c r="GX894" s="133"/>
      <c r="GY894" s="133"/>
      <c r="GZ894" s="133"/>
      <c r="HA894" s="133"/>
      <c r="HB894" s="133"/>
      <c r="HC894" s="133"/>
      <c r="HD894" s="133"/>
      <c r="HE894" s="133"/>
      <c r="HF894" s="133"/>
      <c r="HG894" s="133"/>
      <c r="HH894" s="133"/>
      <c r="HI894" s="133"/>
      <c r="HJ894" s="133"/>
      <c r="HK894" s="133"/>
      <c r="HL894" s="133"/>
      <c r="HM894" s="133"/>
      <c r="HN894" s="133"/>
      <c r="HO894" s="133"/>
      <c r="HP894" s="133"/>
      <c r="HQ894" s="133"/>
      <c r="HR894" s="133"/>
      <c r="HS894" s="133"/>
      <c r="HT894" s="133"/>
      <c r="HU894" s="133"/>
      <c r="HV894" s="133"/>
      <c r="HW894" s="133"/>
      <c r="HX894" s="133"/>
      <c r="HY894" s="133"/>
      <c r="HZ894" s="133"/>
      <c r="IA894" s="133"/>
      <c r="IB894" s="133"/>
      <c r="IC894" s="133"/>
      <c r="ID894" s="133"/>
      <c r="IE894" s="133"/>
      <c r="IF894" s="133"/>
      <c r="IG894" s="133"/>
      <c r="IH894" s="133"/>
      <c r="II894" s="133"/>
      <c r="IJ894" s="133"/>
      <c r="IK894" s="133"/>
      <c r="IL894" s="133"/>
      <c r="IM894" s="133"/>
      <c r="IN894" s="133"/>
      <c r="IO894" s="133"/>
      <c r="IP894" s="133"/>
      <c r="IQ894" s="133"/>
      <c r="IR894" s="133"/>
      <c r="IS894" s="133"/>
      <c r="IT894" s="133"/>
      <c r="IU894" s="133"/>
      <c r="IV894" s="133"/>
    </row>
    <row r="895" spans="1:256" s="132" customFormat="1" ht="13.8">
      <c r="A895" s="133"/>
      <c r="B895" s="133"/>
      <c r="C895" s="133"/>
      <c r="D895" s="133"/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GE895" s="133"/>
      <c r="GF895" s="133"/>
      <c r="GG895" s="133"/>
      <c r="GH895" s="133"/>
      <c r="GI895" s="133"/>
      <c r="GJ895" s="133"/>
      <c r="GK895" s="133"/>
      <c r="GL895" s="133"/>
      <c r="GM895" s="133"/>
      <c r="GN895" s="133"/>
      <c r="GO895" s="133"/>
      <c r="GP895" s="133"/>
      <c r="GQ895" s="133"/>
      <c r="GR895" s="133"/>
      <c r="GS895" s="133"/>
      <c r="GT895" s="133"/>
      <c r="GU895" s="133"/>
      <c r="GV895" s="133"/>
      <c r="GW895" s="133"/>
      <c r="GX895" s="133"/>
      <c r="GY895" s="133"/>
      <c r="GZ895" s="133"/>
      <c r="HA895" s="133"/>
      <c r="HB895" s="133"/>
      <c r="HC895" s="133"/>
      <c r="HD895" s="133"/>
      <c r="HE895" s="133"/>
      <c r="HF895" s="133"/>
      <c r="HG895" s="133"/>
      <c r="HH895" s="133"/>
      <c r="HI895" s="133"/>
      <c r="HJ895" s="133"/>
      <c r="HK895" s="133"/>
      <c r="HL895" s="133"/>
      <c r="HM895" s="133"/>
      <c r="HN895" s="133"/>
      <c r="HO895" s="133"/>
      <c r="HP895" s="133"/>
      <c r="HQ895" s="133"/>
      <c r="HR895" s="133"/>
      <c r="HS895" s="133"/>
      <c r="HT895" s="133"/>
      <c r="HU895" s="133"/>
      <c r="HV895" s="133"/>
      <c r="HW895" s="133"/>
      <c r="HX895" s="133"/>
      <c r="HY895" s="133"/>
      <c r="HZ895" s="133"/>
      <c r="IA895" s="133"/>
      <c r="IB895" s="133"/>
      <c r="IC895" s="133"/>
      <c r="ID895" s="133"/>
      <c r="IE895" s="133"/>
      <c r="IF895" s="133"/>
      <c r="IG895" s="133"/>
      <c r="IH895" s="133"/>
      <c r="II895" s="133"/>
      <c r="IJ895" s="133"/>
      <c r="IK895" s="133"/>
      <c r="IL895" s="133"/>
      <c r="IM895" s="133"/>
      <c r="IN895" s="133"/>
      <c r="IO895" s="133"/>
      <c r="IP895" s="133"/>
      <c r="IQ895" s="133"/>
      <c r="IR895" s="133"/>
      <c r="IS895" s="133"/>
      <c r="IT895" s="133"/>
      <c r="IU895" s="133"/>
      <c r="IV895" s="133"/>
    </row>
    <row r="896" spans="1:256" s="132" customFormat="1" ht="13.8">
      <c r="A896" s="133"/>
      <c r="B896" s="133"/>
      <c r="C896" s="133"/>
      <c r="D896" s="133"/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GE896" s="133"/>
      <c r="GF896" s="133"/>
      <c r="GG896" s="133"/>
      <c r="GH896" s="133"/>
      <c r="GI896" s="133"/>
      <c r="GJ896" s="133"/>
      <c r="GK896" s="133"/>
      <c r="GL896" s="133"/>
      <c r="GM896" s="133"/>
      <c r="GN896" s="133"/>
      <c r="GO896" s="133"/>
      <c r="GP896" s="133"/>
      <c r="GQ896" s="133"/>
      <c r="GR896" s="133"/>
      <c r="GS896" s="133"/>
      <c r="GT896" s="133"/>
      <c r="GU896" s="133"/>
      <c r="GV896" s="133"/>
      <c r="GW896" s="133"/>
      <c r="GX896" s="133"/>
      <c r="GY896" s="133"/>
      <c r="GZ896" s="133"/>
      <c r="HA896" s="133"/>
      <c r="HB896" s="133"/>
      <c r="HC896" s="133"/>
      <c r="HD896" s="133"/>
      <c r="HE896" s="133"/>
      <c r="HF896" s="133"/>
      <c r="HG896" s="133"/>
      <c r="HH896" s="133"/>
      <c r="HI896" s="133"/>
      <c r="HJ896" s="133"/>
      <c r="HK896" s="133"/>
      <c r="HL896" s="133"/>
      <c r="HM896" s="133"/>
      <c r="HN896" s="133"/>
      <c r="HO896" s="133"/>
      <c r="HP896" s="133"/>
      <c r="HQ896" s="133"/>
      <c r="HR896" s="133"/>
      <c r="HS896" s="133"/>
      <c r="HT896" s="133"/>
      <c r="HU896" s="133"/>
      <c r="HV896" s="133"/>
      <c r="HW896" s="133"/>
      <c r="HX896" s="133"/>
      <c r="HY896" s="133"/>
      <c r="HZ896" s="133"/>
      <c r="IA896" s="133"/>
      <c r="IB896" s="133"/>
      <c r="IC896" s="133"/>
      <c r="ID896" s="133"/>
      <c r="IE896" s="133"/>
      <c r="IF896" s="133"/>
      <c r="IG896" s="133"/>
      <c r="IH896" s="133"/>
      <c r="II896" s="133"/>
      <c r="IJ896" s="133"/>
      <c r="IK896" s="133"/>
      <c r="IL896" s="133"/>
      <c r="IM896" s="133"/>
      <c r="IN896" s="133"/>
      <c r="IO896" s="133"/>
      <c r="IP896" s="133"/>
      <c r="IQ896" s="133"/>
      <c r="IR896" s="133"/>
      <c r="IS896" s="133"/>
      <c r="IT896" s="133"/>
      <c r="IU896" s="133"/>
      <c r="IV896" s="133"/>
    </row>
    <row r="897" spans="1:256" s="132" customFormat="1" ht="13.8">
      <c r="A897" s="133"/>
      <c r="B897" s="133"/>
      <c r="C897" s="133"/>
      <c r="D897" s="133"/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GE897" s="133"/>
      <c r="GF897" s="133"/>
      <c r="GG897" s="133"/>
      <c r="GH897" s="133"/>
      <c r="GI897" s="133"/>
      <c r="GJ897" s="133"/>
      <c r="GK897" s="133"/>
      <c r="GL897" s="133"/>
      <c r="GM897" s="133"/>
      <c r="GN897" s="133"/>
      <c r="GO897" s="133"/>
      <c r="GP897" s="133"/>
      <c r="GQ897" s="133"/>
      <c r="GR897" s="133"/>
      <c r="GS897" s="133"/>
      <c r="GT897" s="133"/>
      <c r="GU897" s="133"/>
      <c r="GV897" s="133"/>
      <c r="GW897" s="133"/>
      <c r="GX897" s="133"/>
      <c r="GY897" s="133"/>
      <c r="GZ897" s="133"/>
      <c r="HA897" s="133"/>
      <c r="HB897" s="133"/>
      <c r="HC897" s="133"/>
      <c r="HD897" s="133"/>
      <c r="HE897" s="133"/>
      <c r="HF897" s="133"/>
      <c r="HG897" s="133"/>
      <c r="HH897" s="133"/>
      <c r="HI897" s="133"/>
      <c r="HJ897" s="133"/>
      <c r="HK897" s="133"/>
      <c r="HL897" s="133"/>
      <c r="HM897" s="133"/>
      <c r="HN897" s="133"/>
      <c r="HO897" s="133"/>
      <c r="HP897" s="133"/>
      <c r="HQ897" s="133"/>
      <c r="HR897" s="133"/>
      <c r="HS897" s="133"/>
      <c r="HT897" s="133"/>
      <c r="HU897" s="133"/>
      <c r="HV897" s="133"/>
      <c r="HW897" s="133"/>
      <c r="HX897" s="133"/>
      <c r="HY897" s="133"/>
      <c r="HZ897" s="133"/>
      <c r="IA897" s="133"/>
      <c r="IB897" s="133"/>
      <c r="IC897" s="133"/>
      <c r="ID897" s="133"/>
      <c r="IE897" s="133"/>
      <c r="IF897" s="133"/>
      <c r="IG897" s="133"/>
      <c r="IH897" s="133"/>
      <c r="II897" s="133"/>
      <c r="IJ897" s="133"/>
      <c r="IK897" s="133"/>
      <c r="IL897" s="133"/>
      <c r="IM897" s="133"/>
      <c r="IN897" s="133"/>
      <c r="IO897" s="133"/>
      <c r="IP897" s="133"/>
      <c r="IQ897" s="133"/>
      <c r="IR897" s="133"/>
      <c r="IS897" s="133"/>
      <c r="IT897" s="133"/>
      <c r="IU897" s="133"/>
      <c r="IV897" s="133"/>
    </row>
    <row r="898" spans="1:256" s="132" customFormat="1" ht="13.8">
      <c r="A898" s="133"/>
      <c r="B898" s="133"/>
      <c r="C898" s="133"/>
      <c r="D898" s="133"/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GE898" s="133"/>
      <c r="GF898" s="133"/>
      <c r="GG898" s="133"/>
      <c r="GH898" s="133"/>
      <c r="GI898" s="133"/>
      <c r="GJ898" s="133"/>
      <c r="GK898" s="133"/>
      <c r="GL898" s="133"/>
      <c r="GM898" s="133"/>
      <c r="GN898" s="133"/>
      <c r="GO898" s="133"/>
      <c r="GP898" s="133"/>
      <c r="GQ898" s="133"/>
      <c r="GR898" s="133"/>
      <c r="GS898" s="133"/>
      <c r="GT898" s="133"/>
      <c r="GU898" s="133"/>
      <c r="GV898" s="133"/>
      <c r="GW898" s="133"/>
      <c r="GX898" s="133"/>
      <c r="GY898" s="133"/>
      <c r="GZ898" s="133"/>
      <c r="HA898" s="133"/>
      <c r="HB898" s="133"/>
      <c r="HC898" s="133"/>
      <c r="HD898" s="133"/>
      <c r="HE898" s="133"/>
      <c r="HF898" s="133"/>
      <c r="HG898" s="133"/>
      <c r="HH898" s="133"/>
      <c r="HI898" s="133"/>
      <c r="HJ898" s="133"/>
      <c r="HK898" s="133"/>
      <c r="HL898" s="133"/>
      <c r="HM898" s="133"/>
      <c r="HN898" s="133"/>
      <c r="HO898" s="133"/>
      <c r="HP898" s="133"/>
      <c r="HQ898" s="133"/>
      <c r="HR898" s="133"/>
      <c r="HS898" s="133"/>
      <c r="HT898" s="133"/>
      <c r="HU898" s="133"/>
      <c r="HV898" s="133"/>
      <c r="HW898" s="133"/>
      <c r="HX898" s="133"/>
      <c r="HY898" s="133"/>
      <c r="HZ898" s="133"/>
      <c r="IA898" s="133"/>
      <c r="IB898" s="133"/>
      <c r="IC898" s="133"/>
      <c r="ID898" s="133"/>
      <c r="IE898" s="133"/>
      <c r="IF898" s="133"/>
      <c r="IG898" s="133"/>
      <c r="IH898" s="133"/>
      <c r="II898" s="133"/>
      <c r="IJ898" s="133"/>
      <c r="IK898" s="133"/>
      <c r="IL898" s="133"/>
      <c r="IM898" s="133"/>
      <c r="IN898" s="133"/>
      <c r="IO898" s="133"/>
      <c r="IP898" s="133"/>
      <c r="IQ898" s="133"/>
      <c r="IR898" s="133"/>
      <c r="IS898" s="133"/>
      <c r="IT898" s="133"/>
      <c r="IU898" s="133"/>
      <c r="IV898" s="133"/>
    </row>
    <row r="899" spans="1:256" s="132" customFormat="1" ht="13.8">
      <c r="A899" s="133"/>
      <c r="B899" s="133"/>
      <c r="C899" s="133"/>
      <c r="D899" s="133"/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GE899" s="133"/>
      <c r="GF899" s="133"/>
      <c r="GG899" s="133"/>
      <c r="GH899" s="133"/>
      <c r="GI899" s="133"/>
      <c r="GJ899" s="133"/>
      <c r="GK899" s="133"/>
      <c r="GL899" s="133"/>
      <c r="GM899" s="133"/>
      <c r="GN899" s="133"/>
      <c r="GO899" s="133"/>
      <c r="GP899" s="133"/>
      <c r="GQ899" s="133"/>
      <c r="GR899" s="133"/>
      <c r="GS899" s="133"/>
      <c r="GT899" s="133"/>
      <c r="GU899" s="133"/>
      <c r="GV899" s="133"/>
      <c r="GW899" s="133"/>
      <c r="GX899" s="133"/>
      <c r="GY899" s="133"/>
      <c r="GZ899" s="133"/>
      <c r="HA899" s="133"/>
      <c r="HB899" s="133"/>
      <c r="HC899" s="133"/>
      <c r="HD899" s="133"/>
      <c r="HE899" s="133"/>
      <c r="HF899" s="133"/>
      <c r="HG899" s="133"/>
      <c r="HH899" s="133"/>
      <c r="HI899" s="133"/>
      <c r="HJ899" s="133"/>
      <c r="HK899" s="133"/>
      <c r="HL899" s="133"/>
      <c r="HM899" s="133"/>
      <c r="HN899" s="133"/>
      <c r="HO899" s="133"/>
      <c r="HP899" s="133"/>
      <c r="HQ899" s="133"/>
      <c r="HR899" s="133"/>
      <c r="HS899" s="133"/>
      <c r="HT899" s="133"/>
      <c r="HU899" s="133"/>
      <c r="HV899" s="133"/>
      <c r="HW899" s="133"/>
      <c r="HX899" s="133"/>
      <c r="HY899" s="133"/>
      <c r="HZ899" s="133"/>
      <c r="IA899" s="133"/>
      <c r="IB899" s="133"/>
      <c r="IC899" s="133"/>
      <c r="ID899" s="133"/>
      <c r="IE899" s="133"/>
      <c r="IF899" s="133"/>
      <c r="IG899" s="133"/>
      <c r="IH899" s="133"/>
      <c r="II899" s="133"/>
      <c r="IJ899" s="133"/>
      <c r="IK899" s="133"/>
      <c r="IL899" s="133"/>
      <c r="IM899" s="133"/>
      <c r="IN899" s="133"/>
      <c r="IO899" s="133"/>
      <c r="IP899" s="133"/>
      <c r="IQ899" s="133"/>
      <c r="IR899" s="133"/>
      <c r="IS899" s="133"/>
      <c r="IT899" s="133"/>
      <c r="IU899" s="133"/>
      <c r="IV899" s="133"/>
    </row>
    <row r="900" spans="1:256" s="132" customFormat="1" ht="13.8">
      <c r="A900" s="133"/>
      <c r="B900" s="133"/>
      <c r="C900" s="133"/>
      <c r="D900" s="133"/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GE900" s="133"/>
      <c r="GF900" s="133"/>
      <c r="GG900" s="133"/>
      <c r="GH900" s="133"/>
      <c r="GI900" s="133"/>
      <c r="GJ900" s="133"/>
      <c r="GK900" s="133"/>
      <c r="GL900" s="133"/>
      <c r="GM900" s="133"/>
      <c r="GN900" s="133"/>
      <c r="GO900" s="133"/>
      <c r="GP900" s="133"/>
      <c r="GQ900" s="133"/>
      <c r="GR900" s="133"/>
      <c r="GS900" s="133"/>
      <c r="GT900" s="133"/>
      <c r="GU900" s="133"/>
      <c r="GV900" s="133"/>
      <c r="GW900" s="133"/>
      <c r="GX900" s="133"/>
      <c r="GY900" s="133"/>
      <c r="GZ900" s="133"/>
      <c r="HA900" s="133"/>
      <c r="HB900" s="133"/>
      <c r="HC900" s="133"/>
      <c r="HD900" s="133"/>
      <c r="HE900" s="133"/>
      <c r="HF900" s="133"/>
      <c r="HG900" s="133"/>
      <c r="HH900" s="133"/>
      <c r="HI900" s="133"/>
      <c r="HJ900" s="133"/>
      <c r="HK900" s="133"/>
      <c r="HL900" s="133"/>
      <c r="HM900" s="133"/>
      <c r="HN900" s="133"/>
      <c r="HO900" s="133"/>
      <c r="HP900" s="133"/>
      <c r="HQ900" s="133"/>
      <c r="HR900" s="133"/>
      <c r="HS900" s="133"/>
      <c r="HT900" s="133"/>
      <c r="HU900" s="133"/>
      <c r="HV900" s="133"/>
      <c r="HW900" s="133"/>
      <c r="HX900" s="133"/>
      <c r="HY900" s="133"/>
      <c r="HZ900" s="133"/>
      <c r="IA900" s="133"/>
      <c r="IB900" s="133"/>
      <c r="IC900" s="133"/>
      <c r="ID900" s="133"/>
      <c r="IE900" s="133"/>
      <c r="IF900" s="133"/>
      <c r="IG900" s="133"/>
      <c r="IH900" s="133"/>
      <c r="II900" s="133"/>
      <c r="IJ900" s="133"/>
      <c r="IK900" s="133"/>
      <c r="IL900" s="133"/>
      <c r="IM900" s="133"/>
      <c r="IN900" s="133"/>
      <c r="IO900" s="133"/>
      <c r="IP900" s="133"/>
      <c r="IQ900" s="133"/>
      <c r="IR900" s="133"/>
      <c r="IS900" s="133"/>
      <c r="IT900" s="133"/>
      <c r="IU900" s="133"/>
      <c r="IV900" s="133"/>
    </row>
    <row r="901" spans="1:256" s="132" customFormat="1" ht="13.8">
      <c r="A901" s="133"/>
      <c r="B901" s="133"/>
      <c r="C901" s="133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GE901" s="133"/>
      <c r="GF901" s="133"/>
      <c r="GG901" s="133"/>
      <c r="GH901" s="133"/>
      <c r="GI901" s="133"/>
      <c r="GJ901" s="133"/>
      <c r="GK901" s="133"/>
      <c r="GL901" s="133"/>
      <c r="GM901" s="133"/>
      <c r="GN901" s="133"/>
      <c r="GO901" s="133"/>
      <c r="GP901" s="133"/>
      <c r="GQ901" s="133"/>
      <c r="GR901" s="133"/>
      <c r="GS901" s="133"/>
      <c r="GT901" s="133"/>
      <c r="GU901" s="133"/>
      <c r="GV901" s="133"/>
      <c r="GW901" s="133"/>
      <c r="GX901" s="133"/>
      <c r="GY901" s="133"/>
      <c r="GZ901" s="133"/>
      <c r="HA901" s="133"/>
      <c r="HB901" s="133"/>
      <c r="HC901" s="133"/>
      <c r="HD901" s="133"/>
      <c r="HE901" s="133"/>
      <c r="HF901" s="133"/>
      <c r="HG901" s="133"/>
      <c r="HH901" s="133"/>
      <c r="HI901" s="133"/>
      <c r="HJ901" s="133"/>
      <c r="HK901" s="133"/>
      <c r="HL901" s="133"/>
      <c r="HM901" s="133"/>
      <c r="HN901" s="133"/>
      <c r="HO901" s="133"/>
      <c r="HP901" s="133"/>
      <c r="HQ901" s="133"/>
      <c r="HR901" s="133"/>
      <c r="HS901" s="133"/>
      <c r="HT901" s="133"/>
      <c r="HU901" s="133"/>
      <c r="HV901" s="133"/>
      <c r="HW901" s="133"/>
      <c r="HX901" s="133"/>
      <c r="HY901" s="133"/>
      <c r="HZ901" s="133"/>
      <c r="IA901" s="133"/>
      <c r="IB901" s="133"/>
      <c r="IC901" s="133"/>
      <c r="ID901" s="133"/>
      <c r="IE901" s="133"/>
      <c r="IF901" s="133"/>
      <c r="IG901" s="133"/>
      <c r="IH901" s="133"/>
      <c r="II901" s="133"/>
      <c r="IJ901" s="133"/>
      <c r="IK901" s="133"/>
      <c r="IL901" s="133"/>
      <c r="IM901" s="133"/>
      <c r="IN901" s="133"/>
      <c r="IO901" s="133"/>
      <c r="IP901" s="133"/>
      <c r="IQ901" s="133"/>
      <c r="IR901" s="133"/>
      <c r="IS901" s="133"/>
      <c r="IT901" s="133"/>
      <c r="IU901" s="133"/>
      <c r="IV901" s="133"/>
    </row>
    <row r="902" spans="1:256" s="132" customFormat="1" ht="13.8">
      <c r="A902" s="133"/>
      <c r="B902" s="133"/>
      <c r="C902" s="133"/>
      <c r="D902" s="133"/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GE902" s="133"/>
      <c r="GF902" s="133"/>
      <c r="GG902" s="133"/>
      <c r="GH902" s="133"/>
      <c r="GI902" s="133"/>
      <c r="GJ902" s="133"/>
      <c r="GK902" s="133"/>
      <c r="GL902" s="133"/>
      <c r="GM902" s="133"/>
      <c r="GN902" s="133"/>
      <c r="GO902" s="133"/>
      <c r="GP902" s="133"/>
      <c r="GQ902" s="133"/>
      <c r="GR902" s="133"/>
      <c r="GS902" s="133"/>
      <c r="GT902" s="133"/>
      <c r="GU902" s="133"/>
      <c r="GV902" s="133"/>
      <c r="GW902" s="133"/>
      <c r="GX902" s="133"/>
      <c r="GY902" s="133"/>
      <c r="GZ902" s="133"/>
      <c r="HA902" s="133"/>
      <c r="HB902" s="133"/>
      <c r="HC902" s="133"/>
      <c r="HD902" s="133"/>
      <c r="HE902" s="133"/>
      <c r="HF902" s="133"/>
      <c r="HG902" s="133"/>
      <c r="HH902" s="133"/>
      <c r="HI902" s="133"/>
      <c r="HJ902" s="133"/>
      <c r="HK902" s="133"/>
      <c r="HL902" s="133"/>
      <c r="HM902" s="133"/>
      <c r="HN902" s="133"/>
      <c r="HO902" s="133"/>
      <c r="HP902" s="133"/>
      <c r="HQ902" s="133"/>
      <c r="HR902" s="133"/>
      <c r="HS902" s="133"/>
      <c r="HT902" s="133"/>
      <c r="HU902" s="133"/>
      <c r="HV902" s="133"/>
      <c r="HW902" s="133"/>
      <c r="HX902" s="133"/>
      <c r="HY902" s="133"/>
      <c r="HZ902" s="133"/>
      <c r="IA902" s="133"/>
      <c r="IB902" s="133"/>
      <c r="IC902" s="133"/>
      <c r="ID902" s="133"/>
      <c r="IE902" s="133"/>
      <c r="IF902" s="133"/>
      <c r="IG902" s="133"/>
      <c r="IH902" s="133"/>
      <c r="II902" s="133"/>
      <c r="IJ902" s="133"/>
      <c r="IK902" s="133"/>
      <c r="IL902" s="133"/>
      <c r="IM902" s="133"/>
      <c r="IN902" s="133"/>
      <c r="IO902" s="133"/>
      <c r="IP902" s="133"/>
      <c r="IQ902" s="133"/>
      <c r="IR902" s="133"/>
      <c r="IS902" s="133"/>
      <c r="IT902" s="133"/>
      <c r="IU902" s="133"/>
      <c r="IV902" s="133"/>
    </row>
    <row r="903" spans="1:256" s="132" customFormat="1" ht="13.8">
      <c r="A903" s="133"/>
      <c r="B903" s="133"/>
      <c r="C903" s="133"/>
      <c r="D903" s="133"/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GE903" s="133"/>
      <c r="GF903" s="133"/>
      <c r="GG903" s="133"/>
      <c r="GH903" s="133"/>
      <c r="GI903" s="133"/>
      <c r="GJ903" s="133"/>
      <c r="GK903" s="133"/>
      <c r="GL903" s="133"/>
      <c r="GM903" s="133"/>
      <c r="GN903" s="133"/>
      <c r="GO903" s="133"/>
      <c r="GP903" s="133"/>
      <c r="GQ903" s="133"/>
      <c r="GR903" s="133"/>
      <c r="GS903" s="133"/>
      <c r="GT903" s="133"/>
      <c r="GU903" s="133"/>
      <c r="GV903" s="133"/>
      <c r="GW903" s="133"/>
      <c r="GX903" s="133"/>
      <c r="GY903" s="133"/>
      <c r="GZ903" s="133"/>
      <c r="HA903" s="133"/>
      <c r="HB903" s="133"/>
      <c r="HC903" s="133"/>
      <c r="HD903" s="133"/>
      <c r="HE903" s="133"/>
      <c r="HF903" s="133"/>
      <c r="HG903" s="133"/>
      <c r="HH903" s="133"/>
      <c r="HI903" s="133"/>
      <c r="HJ903" s="133"/>
      <c r="HK903" s="133"/>
      <c r="HL903" s="133"/>
      <c r="HM903" s="133"/>
      <c r="HN903" s="133"/>
      <c r="HO903" s="133"/>
      <c r="HP903" s="133"/>
      <c r="HQ903" s="133"/>
      <c r="HR903" s="133"/>
      <c r="HS903" s="133"/>
      <c r="HT903" s="133"/>
      <c r="HU903" s="133"/>
      <c r="HV903" s="133"/>
      <c r="HW903" s="133"/>
      <c r="HX903" s="133"/>
      <c r="HY903" s="133"/>
      <c r="HZ903" s="133"/>
      <c r="IA903" s="133"/>
      <c r="IB903" s="133"/>
      <c r="IC903" s="133"/>
      <c r="ID903" s="133"/>
      <c r="IE903" s="133"/>
      <c r="IF903" s="133"/>
      <c r="IG903" s="133"/>
      <c r="IH903" s="133"/>
      <c r="II903" s="133"/>
      <c r="IJ903" s="133"/>
      <c r="IK903" s="133"/>
      <c r="IL903" s="133"/>
      <c r="IM903" s="133"/>
      <c r="IN903" s="133"/>
      <c r="IO903" s="133"/>
      <c r="IP903" s="133"/>
      <c r="IQ903" s="133"/>
      <c r="IR903" s="133"/>
      <c r="IS903" s="133"/>
      <c r="IT903" s="133"/>
      <c r="IU903" s="133"/>
      <c r="IV903" s="133"/>
    </row>
    <row r="904" spans="1:256" s="132" customFormat="1" ht="13.8">
      <c r="A904" s="133"/>
      <c r="B904" s="133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GE904" s="133"/>
      <c r="GF904" s="133"/>
      <c r="GG904" s="133"/>
      <c r="GH904" s="133"/>
      <c r="GI904" s="133"/>
      <c r="GJ904" s="133"/>
      <c r="GK904" s="133"/>
      <c r="GL904" s="133"/>
      <c r="GM904" s="133"/>
      <c r="GN904" s="133"/>
      <c r="GO904" s="133"/>
      <c r="GP904" s="133"/>
      <c r="GQ904" s="133"/>
      <c r="GR904" s="133"/>
      <c r="GS904" s="133"/>
      <c r="GT904" s="133"/>
      <c r="GU904" s="133"/>
      <c r="GV904" s="133"/>
      <c r="GW904" s="133"/>
      <c r="GX904" s="133"/>
      <c r="GY904" s="133"/>
      <c r="GZ904" s="133"/>
      <c r="HA904" s="133"/>
      <c r="HB904" s="133"/>
      <c r="HC904" s="133"/>
      <c r="HD904" s="133"/>
      <c r="HE904" s="133"/>
      <c r="HF904" s="133"/>
      <c r="HG904" s="133"/>
      <c r="HH904" s="133"/>
      <c r="HI904" s="133"/>
      <c r="HJ904" s="133"/>
      <c r="HK904" s="133"/>
      <c r="HL904" s="133"/>
      <c r="HM904" s="133"/>
      <c r="HN904" s="133"/>
      <c r="HO904" s="133"/>
      <c r="HP904" s="133"/>
      <c r="HQ904" s="133"/>
      <c r="HR904" s="133"/>
      <c r="HS904" s="133"/>
      <c r="HT904" s="133"/>
      <c r="HU904" s="133"/>
      <c r="HV904" s="133"/>
      <c r="HW904" s="133"/>
      <c r="HX904" s="133"/>
      <c r="HY904" s="133"/>
      <c r="HZ904" s="133"/>
      <c r="IA904" s="133"/>
      <c r="IB904" s="133"/>
      <c r="IC904" s="133"/>
      <c r="ID904" s="133"/>
      <c r="IE904" s="133"/>
      <c r="IF904" s="133"/>
      <c r="IG904" s="133"/>
      <c r="IH904" s="133"/>
      <c r="II904" s="133"/>
      <c r="IJ904" s="133"/>
      <c r="IK904" s="133"/>
      <c r="IL904" s="133"/>
      <c r="IM904" s="133"/>
      <c r="IN904" s="133"/>
      <c r="IO904" s="133"/>
      <c r="IP904" s="133"/>
      <c r="IQ904" s="133"/>
      <c r="IR904" s="133"/>
      <c r="IS904" s="133"/>
      <c r="IT904" s="133"/>
      <c r="IU904" s="133"/>
      <c r="IV904" s="133"/>
    </row>
    <row r="905" spans="1:256" s="132" customFormat="1" ht="13.8">
      <c r="A905" s="133"/>
      <c r="B905" s="133"/>
      <c r="C905" s="133"/>
      <c r="D905" s="133"/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GE905" s="133"/>
      <c r="GF905" s="133"/>
      <c r="GG905" s="133"/>
      <c r="GH905" s="133"/>
      <c r="GI905" s="133"/>
      <c r="GJ905" s="133"/>
      <c r="GK905" s="133"/>
      <c r="GL905" s="133"/>
      <c r="GM905" s="133"/>
      <c r="GN905" s="133"/>
      <c r="GO905" s="133"/>
      <c r="GP905" s="133"/>
      <c r="GQ905" s="133"/>
      <c r="GR905" s="133"/>
      <c r="GS905" s="133"/>
      <c r="GT905" s="133"/>
      <c r="GU905" s="133"/>
      <c r="GV905" s="133"/>
      <c r="GW905" s="133"/>
      <c r="GX905" s="133"/>
      <c r="GY905" s="133"/>
      <c r="GZ905" s="133"/>
      <c r="HA905" s="133"/>
      <c r="HB905" s="133"/>
      <c r="HC905" s="133"/>
      <c r="HD905" s="133"/>
      <c r="HE905" s="133"/>
      <c r="HF905" s="133"/>
      <c r="HG905" s="133"/>
      <c r="HH905" s="133"/>
      <c r="HI905" s="133"/>
      <c r="HJ905" s="133"/>
      <c r="HK905" s="133"/>
      <c r="HL905" s="133"/>
      <c r="HM905" s="133"/>
      <c r="HN905" s="133"/>
      <c r="HO905" s="133"/>
      <c r="HP905" s="133"/>
      <c r="HQ905" s="133"/>
      <c r="HR905" s="133"/>
      <c r="HS905" s="133"/>
      <c r="HT905" s="133"/>
      <c r="HU905" s="133"/>
      <c r="HV905" s="133"/>
      <c r="HW905" s="133"/>
      <c r="HX905" s="133"/>
      <c r="HY905" s="133"/>
      <c r="HZ905" s="133"/>
      <c r="IA905" s="133"/>
      <c r="IB905" s="133"/>
      <c r="IC905" s="133"/>
      <c r="ID905" s="133"/>
      <c r="IE905" s="133"/>
      <c r="IF905" s="133"/>
      <c r="IG905" s="133"/>
      <c r="IH905" s="133"/>
      <c r="II905" s="133"/>
      <c r="IJ905" s="133"/>
      <c r="IK905" s="133"/>
      <c r="IL905" s="133"/>
      <c r="IM905" s="133"/>
      <c r="IN905" s="133"/>
      <c r="IO905" s="133"/>
      <c r="IP905" s="133"/>
      <c r="IQ905" s="133"/>
      <c r="IR905" s="133"/>
      <c r="IS905" s="133"/>
      <c r="IT905" s="133"/>
      <c r="IU905" s="133"/>
      <c r="IV905" s="133"/>
    </row>
    <row r="906" spans="1:256" s="132" customFormat="1" ht="13.8">
      <c r="A906" s="133"/>
      <c r="B906" s="133"/>
      <c r="C906" s="133"/>
      <c r="D906" s="133"/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GE906" s="133"/>
      <c r="GF906" s="133"/>
      <c r="GG906" s="133"/>
      <c r="GH906" s="133"/>
      <c r="GI906" s="133"/>
      <c r="GJ906" s="133"/>
      <c r="GK906" s="133"/>
      <c r="GL906" s="133"/>
      <c r="GM906" s="133"/>
      <c r="GN906" s="133"/>
      <c r="GO906" s="133"/>
      <c r="GP906" s="133"/>
      <c r="GQ906" s="133"/>
      <c r="GR906" s="133"/>
      <c r="GS906" s="133"/>
      <c r="GT906" s="133"/>
      <c r="GU906" s="133"/>
      <c r="GV906" s="133"/>
      <c r="GW906" s="133"/>
      <c r="GX906" s="133"/>
      <c r="GY906" s="133"/>
      <c r="GZ906" s="133"/>
      <c r="HA906" s="133"/>
      <c r="HB906" s="133"/>
      <c r="HC906" s="133"/>
      <c r="HD906" s="133"/>
      <c r="HE906" s="133"/>
      <c r="HF906" s="133"/>
      <c r="HG906" s="133"/>
      <c r="HH906" s="133"/>
      <c r="HI906" s="133"/>
      <c r="HJ906" s="133"/>
      <c r="HK906" s="133"/>
      <c r="HL906" s="133"/>
      <c r="HM906" s="133"/>
      <c r="HN906" s="133"/>
      <c r="HO906" s="133"/>
      <c r="HP906" s="133"/>
      <c r="HQ906" s="133"/>
      <c r="HR906" s="133"/>
      <c r="HS906" s="133"/>
      <c r="HT906" s="133"/>
      <c r="HU906" s="133"/>
      <c r="HV906" s="133"/>
      <c r="HW906" s="133"/>
      <c r="HX906" s="133"/>
      <c r="HY906" s="133"/>
      <c r="HZ906" s="133"/>
      <c r="IA906" s="133"/>
      <c r="IB906" s="133"/>
      <c r="IC906" s="133"/>
      <c r="ID906" s="133"/>
      <c r="IE906" s="133"/>
      <c r="IF906" s="133"/>
      <c r="IG906" s="133"/>
      <c r="IH906" s="133"/>
      <c r="II906" s="133"/>
      <c r="IJ906" s="133"/>
      <c r="IK906" s="133"/>
      <c r="IL906" s="133"/>
      <c r="IM906" s="133"/>
      <c r="IN906" s="133"/>
      <c r="IO906" s="133"/>
      <c r="IP906" s="133"/>
      <c r="IQ906" s="133"/>
      <c r="IR906" s="133"/>
      <c r="IS906" s="133"/>
      <c r="IT906" s="133"/>
      <c r="IU906" s="133"/>
      <c r="IV906" s="133"/>
    </row>
    <row r="907" spans="1:256" s="132" customFormat="1" ht="13.8">
      <c r="A907" s="133"/>
      <c r="B907" s="133"/>
      <c r="C907" s="133"/>
      <c r="D907" s="133"/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GE907" s="133"/>
      <c r="GF907" s="133"/>
      <c r="GG907" s="133"/>
      <c r="GH907" s="133"/>
      <c r="GI907" s="133"/>
      <c r="GJ907" s="133"/>
      <c r="GK907" s="133"/>
      <c r="GL907" s="133"/>
      <c r="GM907" s="133"/>
      <c r="GN907" s="133"/>
      <c r="GO907" s="133"/>
      <c r="GP907" s="133"/>
      <c r="GQ907" s="133"/>
      <c r="GR907" s="133"/>
      <c r="GS907" s="133"/>
      <c r="GT907" s="133"/>
      <c r="GU907" s="133"/>
      <c r="GV907" s="133"/>
      <c r="GW907" s="133"/>
      <c r="GX907" s="133"/>
      <c r="GY907" s="133"/>
      <c r="GZ907" s="133"/>
      <c r="HA907" s="133"/>
      <c r="HB907" s="133"/>
      <c r="HC907" s="133"/>
      <c r="HD907" s="133"/>
      <c r="HE907" s="133"/>
      <c r="HF907" s="133"/>
      <c r="HG907" s="133"/>
      <c r="HH907" s="133"/>
      <c r="HI907" s="133"/>
      <c r="HJ907" s="133"/>
      <c r="HK907" s="133"/>
      <c r="HL907" s="133"/>
      <c r="HM907" s="133"/>
      <c r="HN907" s="133"/>
      <c r="HO907" s="133"/>
      <c r="HP907" s="133"/>
      <c r="HQ907" s="133"/>
      <c r="HR907" s="133"/>
      <c r="HS907" s="133"/>
      <c r="HT907" s="133"/>
      <c r="HU907" s="133"/>
      <c r="HV907" s="133"/>
      <c r="HW907" s="133"/>
      <c r="HX907" s="133"/>
      <c r="HY907" s="133"/>
      <c r="HZ907" s="133"/>
      <c r="IA907" s="133"/>
      <c r="IB907" s="133"/>
      <c r="IC907" s="133"/>
      <c r="ID907" s="133"/>
      <c r="IE907" s="133"/>
      <c r="IF907" s="133"/>
      <c r="IG907" s="133"/>
      <c r="IH907" s="133"/>
      <c r="II907" s="133"/>
      <c r="IJ907" s="133"/>
      <c r="IK907" s="133"/>
      <c r="IL907" s="133"/>
      <c r="IM907" s="133"/>
      <c r="IN907" s="133"/>
      <c r="IO907" s="133"/>
      <c r="IP907" s="133"/>
      <c r="IQ907" s="133"/>
      <c r="IR907" s="133"/>
      <c r="IS907" s="133"/>
      <c r="IT907" s="133"/>
      <c r="IU907" s="133"/>
      <c r="IV907" s="133"/>
    </row>
    <row r="908" spans="1:256" s="132" customFormat="1" ht="13.8">
      <c r="A908" s="133"/>
      <c r="B908" s="133"/>
      <c r="C908" s="133"/>
      <c r="D908" s="133"/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GE908" s="133"/>
      <c r="GF908" s="133"/>
      <c r="GG908" s="133"/>
      <c r="GH908" s="133"/>
      <c r="GI908" s="133"/>
      <c r="GJ908" s="133"/>
      <c r="GK908" s="133"/>
      <c r="GL908" s="133"/>
      <c r="GM908" s="133"/>
      <c r="GN908" s="133"/>
      <c r="GO908" s="133"/>
      <c r="GP908" s="133"/>
      <c r="GQ908" s="133"/>
      <c r="GR908" s="133"/>
      <c r="GS908" s="133"/>
      <c r="GT908" s="133"/>
      <c r="GU908" s="133"/>
      <c r="GV908" s="133"/>
      <c r="GW908" s="133"/>
      <c r="GX908" s="133"/>
      <c r="GY908" s="133"/>
      <c r="GZ908" s="133"/>
      <c r="HA908" s="133"/>
      <c r="HB908" s="133"/>
      <c r="HC908" s="133"/>
      <c r="HD908" s="133"/>
      <c r="HE908" s="133"/>
      <c r="HF908" s="133"/>
      <c r="HG908" s="133"/>
      <c r="HH908" s="133"/>
      <c r="HI908" s="133"/>
      <c r="HJ908" s="133"/>
      <c r="HK908" s="133"/>
      <c r="HL908" s="133"/>
      <c r="HM908" s="133"/>
      <c r="HN908" s="133"/>
      <c r="HO908" s="133"/>
      <c r="HP908" s="133"/>
      <c r="HQ908" s="133"/>
      <c r="HR908" s="133"/>
      <c r="HS908" s="133"/>
      <c r="HT908" s="133"/>
      <c r="HU908" s="133"/>
      <c r="HV908" s="133"/>
      <c r="HW908" s="133"/>
      <c r="HX908" s="133"/>
      <c r="HY908" s="133"/>
      <c r="HZ908" s="133"/>
      <c r="IA908" s="133"/>
      <c r="IB908" s="133"/>
      <c r="IC908" s="133"/>
      <c r="ID908" s="133"/>
      <c r="IE908" s="133"/>
      <c r="IF908" s="133"/>
      <c r="IG908" s="133"/>
      <c r="IH908" s="133"/>
      <c r="II908" s="133"/>
      <c r="IJ908" s="133"/>
      <c r="IK908" s="133"/>
      <c r="IL908" s="133"/>
      <c r="IM908" s="133"/>
      <c r="IN908" s="133"/>
      <c r="IO908" s="133"/>
      <c r="IP908" s="133"/>
      <c r="IQ908" s="133"/>
      <c r="IR908" s="133"/>
      <c r="IS908" s="133"/>
      <c r="IT908" s="133"/>
      <c r="IU908" s="133"/>
      <c r="IV908" s="133"/>
    </row>
    <row r="909" spans="1:256" s="132" customFormat="1" ht="13.8">
      <c r="A909" s="133"/>
      <c r="B909" s="133"/>
      <c r="C909" s="133"/>
      <c r="D909" s="133"/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GE909" s="133"/>
      <c r="GF909" s="133"/>
      <c r="GG909" s="133"/>
      <c r="GH909" s="133"/>
      <c r="GI909" s="133"/>
      <c r="GJ909" s="133"/>
      <c r="GK909" s="133"/>
      <c r="GL909" s="133"/>
      <c r="GM909" s="133"/>
      <c r="GN909" s="133"/>
      <c r="GO909" s="133"/>
      <c r="GP909" s="133"/>
      <c r="GQ909" s="133"/>
      <c r="GR909" s="133"/>
      <c r="GS909" s="133"/>
      <c r="GT909" s="133"/>
      <c r="GU909" s="133"/>
      <c r="GV909" s="133"/>
      <c r="GW909" s="133"/>
      <c r="GX909" s="133"/>
      <c r="GY909" s="133"/>
      <c r="GZ909" s="133"/>
      <c r="HA909" s="133"/>
      <c r="HB909" s="133"/>
      <c r="HC909" s="133"/>
      <c r="HD909" s="133"/>
      <c r="HE909" s="133"/>
      <c r="HF909" s="133"/>
      <c r="HG909" s="133"/>
      <c r="HH909" s="133"/>
      <c r="HI909" s="133"/>
      <c r="HJ909" s="133"/>
      <c r="HK909" s="133"/>
      <c r="HL909" s="133"/>
      <c r="HM909" s="133"/>
      <c r="HN909" s="133"/>
      <c r="HO909" s="133"/>
      <c r="HP909" s="133"/>
      <c r="HQ909" s="133"/>
      <c r="HR909" s="133"/>
      <c r="HS909" s="133"/>
      <c r="HT909" s="133"/>
      <c r="HU909" s="133"/>
      <c r="HV909" s="133"/>
      <c r="HW909" s="133"/>
      <c r="HX909" s="133"/>
      <c r="HY909" s="133"/>
      <c r="HZ909" s="133"/>
      <c r="IA909" s="133"/>
      <c r="IB909" s="133"/>
      <c r="IC909" s="133"/>
      <c r="ID909" s="133"/>
      <c r="IE909" s="133"/>
      <c r="IF909" s="133"/>
      <c r="IG909" s="133"/>
      <c r="IH909" s="133"/>
      <c r="II909" s="133"/>
      <c r="IJ909" s="133"/>
      <c r="IK909" s="133"/>
      <c r="IL909" s="133"/>
      <c r="IM909" s="133"/>
      <c r="IN909" s="133"/>
      <c r="IO909" s="133"/>
      <c r="IP909" s="133"/>
      <c r="IQ909" s="133"/>
      <c r="IR909" s="133"/>
      <c r="IS909" s="133"/>
      <c r="IT909" s="133"/>
      <c r="IU909" s="133"/>
      <c r="IV909" s="133"/>
    </row>
    <row r="910" spans="1:256" s="132" customFormat="1" ht="13.8">
      <c r="A910" s="133"/>
      <c r="B910" s="133"/>
      <c r="C910" s="133"/>
      <c r="D910" s="133"/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GE910" s="133"/>
      <c r="GF910" s="133"/>
      <c r="GG910" s="133"/>
      <c r="GH910" s="133"/>
      <c r="GI910" s="133"/>
      <c r="GJ910" s="133"/>
      <c r="GK910" s="133"/>
      <c r="GL910" s="133"/>
      <c r="GM910" s="133"/>
      <c r="GN910" s="133"/>
      <c r="GO910" s="133"/>
      <c r="GP910" s="133"/>
      <c r="GQ910" s="133"/>
      <c r="GR910" s="133"/>
      <c r="GS910" s="133"/>
      <c r="GT910" s="133"/>
      <c r="GU910" s="133"/>
      <c r="GV910" s="133"/>
      <c r="GW910" s="133"/>
      <c r="GX910" s="133"/>
      <c r="GY910" s="133"/>
      <c r="GZ910" s="133"/>
      <c r="HA910" s="133"/>
      <c r="HB910" s="133"/>
      <c r="HC910" s="133"/>
      <c r="HD910" s="133"/>
      <c r="HE910" s="133"/>
      <c r="HF910" s="133"/>
      <c r="HG910" s="133"/>
      <c r="HH910" s="133"/>
      <c r="HI910" s="133"/>
      <c r="HJ910" s="133"/>
      <c r="HK910" s="133"/>
      <c r="HL910" s="133"/>
      <c r="HM910" s="133"/>
      <c r="HN910" s="133"/>
      <c r="HO910" s="133"/>
      <c r="HP910" s="133"/>
      <c r="HQ910" s="133"/>
      <c r="HR910" s="133"/>
      <c r="HS910" s="133"/>
      <c r="HT910" s="133"/>
      <c r="HU910" s="133"/>
      <c r="HV910" s="133"/>
      <c r="HW910" s="133"/>
      <c r="HX910" s="133"/>
      <c r="HY910" s="133"/>
      <c r="HZ910" s="133"/>
      <c r="IA910" s="133"/>
      <c r="IB910" s="133"/>
      <c r="IC910" s="133"/>
      <c r="ID910" s="133"/>
      <c r="IE910" s="133"/>
      <c r="IF910" s="133"/>
      <c r="IG910" s="133"/>
      <c r="IH910" s="133"/>
      <c r="II910" s="133"/>
      <c r="IJ910" s="133"/>
      <c r="IK910" s="133"/>
      <c r="IL910" s="133"/>
      <c r="IM910" s="133"/>
      <c r="IN910" s="133"/>
      <c r="IO910" s="133"/>
      <c r="IP910" s="133"/>
      <c r="IQ910" s="133"/>
      <c r="IR910" s="133"/>
      <c r="IS910" s="133"/>
      <c r="IT910" s="133"/>
      <c r="IU910" s="133"/>
      <c r="IV910" s="133"/>
    </row>
    <row r="911" spans="1:256" s="132" customFormat="1" ht="13.8">
      <c r="A911" s="133"/>
      <c r="B911" s="133"/>
      <c r="C911" s="133"/>
      <c r="D911" s="133"/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GE911" s="133"/>
      <c r="GF911" s="133"/>
      <c r="GG911" s="133"/>
      <c r="GH911" s="133"/>
      <c r="GI911" s="133"/>
      <c r="GJ911" s="133"/>
      <c r="GK911" s="133"/>
      <c r="GL911" s="133"/>
      <c r="GM911" s="133"/>
      <c r="GN911" s="133"/>
      <c r="GO911" s="133"/>
      <c r="GP911" s="133"/>
      <c r="GQ911" s="133"/>
      <c r="GR911" s="133"/>
      <c r="GS911" s="133"/>
      <c r="GT911" s="133"/>
      <c r="GU911" s="133"/>
      <c r="GV911" s="133"/>
      <c r="GW911" s="133"/>
      <c r="GX911" s="133"/>
      <c r="GY911" s="133"/>
      <c r="GZ911" s="133"/>
      <c r="HA911" s="133"/>
      <c r="HB911" s="133"/>
      <c r="HC911" s="133"/>
      <c r="HD911" s="133"/>
      <c r="HE911" s="133"/>
      <c r="HF911" s="133"/>
      <c r="HG911" s="133"/>
      <c r="HH911" s="133"/>
      <c r="HI911" s="133"/>
      <c r="HJ911" s="133"/>
      <c r="HK911" s="133"/>
      <c r="HL911" s="133"/>
      <c r="HM911" s="133"/>
      <c r="HN911" s="133"/>
      <c r="HO911" s="133"/>
      <c r="HP911" s="133"/>
      <c r="HQ911" s="133"/>
      <c r="HR911" s="133"/>
      <c r="HS911" s="133"/>
      <c r="HT911" s="133"/>
      <c r="HU911" s="133"/>
      <c r="HV911" s="133"/>
      <c r="HW911" s="133"/>
      <c r="HX911" s="133"/>
      <c r="HY911" s="133"/>
      <c r="HZ911" s="133"/>
      <c r="IA911" s="133"/>
      <c r="IB911" s="133"/>
      <c r="IC911" s="133"/>
      <c r="ID911" s="133"/>
      <c r="IE911" s="133"/>
      <c r="IF911" s="133"/>
      <c r="IG911" s="133"/>
      <c r="IH911" s="133"/>
      <c r="II911" s="133"/>
      <c r="IJ911" s="133"/>
      <c r="IK911" s="133"/>
      <c r="IL911" s="133"/>
      <c r="IM911" s="133"/>
      <c r="IN911" s="133"/>
      <c r="IO911" s="133"/>
      <c r="IP911" s="133"/>
      <c r="IQ911" s="133"/>
      <c r="IR911" s="133"/>
      <c r="IS911" s="133"/>
      <c r="IT911" s="133"/>
      <c r="IU911" s="133"/>
      <c r="IV911" s="133"/>
    </row>
    <row r="912" spans="1:256" s="132" customFormat="1" ht="13.8">
      <c r="A912" s="133"/>
      <c r="B912" s="133"/>
      <c r="C912" s="133"/>
      <c r="D912" s="133"/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GE912" s="133"/>
      <c r="GF912" s="133"/>
      <c r="GG912" s="133"/>
      <c r="GH912" s="133"/>
      <c r="GI912" s="133"/>
      <c r="GJ912" s="133"/>
      <c r="GK912" s="133"/>
      <c r="GL912" s="133"/>
      <c r="GM912" s="133"/>
      <c r="GN912" s="133"/>
      <c r="GO912" s="133"/>
      <c r="GP912" s="133"/>
      <c r="GQ912" s="133"/>
      <c r="GR912" s="133"/>
      <c r="GS912" s="133"/>
      <c r="GT912" s="133"/>
      <c r="GU912" s="133"/>
      <c r="GV912" s="133"/>
      <c r="GW912" s="133"/>
      <c r="GX912" s="133"/>
      <c r="GY912" s="133"/>
      <c r="GZ912" s="133"/>
      <c r="HA912" s="133"/>
      <c r="HB912" s="133"/>
      <c r="HC912" s="133"/>
      <c r="HD912" s="133"/>
      <c r="HE912" s="133"/>
      <c r="HF912" s="133"/>
      <c r="HG912" s="133"/>
      <c r="HH912" s="133"/>
      <c r="HI912" s="133"/>
      <c r="HJ912" s="133"/>
      <c r="HK912" s="133"/>
      <c r="HL912" s="133"/>
      <c r="HM912" s="133"/>
      <c r="HN912" s="133"/>
      <c r="HO912" s="133"/>
      <c r="HP912" s="133"/>
      <c r="HQ912" s="133"/>
      <c r="HR912" s="133"/>
      <c r="HS912" s="133"/>
      <c r="HT912" s="133"/>
      <c r="HU912" s="133"/>
      <c r="HV912" s="133"/>
      <c r="HW912" s="133"/>
      <c r="HX912" s="133"/>
      <c r="HY912" s="133"/>
      <c r="HZ912" s="133"/>
      <c r="IA912" s="133"/>
      <c r="IB912" s="133"/>
      <c r="IC912" s="133"/>
      <c r="ID912" s="133"/>
      <c r="IE912" s="133"/>
      <c r="IF912" s="133"/>
      <c r="IG912" s="133"/>
      <c r="IH912" s="133"/>
      <c r="II912" s="133"/>
      <c r="IJ912" s="133"/>
      <c r="IK912" s="133"/>
      <c r="IL912" s="133"/>
      <c r="IM912" s="133"/>
      <c r="IN912" s="133"/>
      <c r="IO912" s="133"/>
      <c r="IP912" s="133"/>
      <c r="IQ912" s="133"/>
      <c r="IR912" s="133"/>
      <c r="IS912" s="133"/>
      <c r="IT912" s="133"/>
      <c r="IU912" s="133"/>
      <c r="IV912" s="133"/>
    </row>
    <row r="913" spans="1:256" s="132" customFormat="1" ht="13.8">
      <c r="A913" s="133"/>
      <c r="B913" s="133"/>
      <c r="C913" s="133"/>
      <c r="D913" s="133"/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GE913" s="133"/>
      <c r="GF913" s="133"/>
      <c r="GG913" s="133"/>
      <c r="GH913" s="133"/>
      <c r="GI913" s="133"/>
      <c r="GJ913" s="133"/>
      <c r="GK913" s="133"/>
      <c r="GL913" s="133"/>
      <c r="GM913" s="133"/>
      <c r="GN913" s="133"/>
      <c r="GO913" s="133"/>
      <c r="GP913" s="133"/>
      <c r="GQ913" s="133"/>
      <c r="GR913" s="133"/>
      <c r="GS913" s="133"/>
      <c r="GT913" s="133"/>
      <c r="GU913" s="133"/>
      <c r="GV913" s="133"/>
      <c r="GW913" s="133"/>
      <c r="GX913" s="133"/>
      <c r="GY913" s="133"/>
      <c r="GZ913" s="133"/>
      <c r="HA913" s="133"/>
      <c r="HB913" s="133"/>
      <c r="HC913" s="133"/>
      <c r="HD913" s="133"/>
      <c r="HE913" s="133"/>
      <c r="HF913" s="133"/>
      <c r="HG913" s="133"/>
      <c r="HH913" s="133"/>
      <c r="HI913" s="133"/>
      <c r="HJ913" s="133"/>
      <c r="HK913" s="133"/>
      <c r="HL913" s="133"/>
      <c r="HM913" s="133"/>
      <c r="HN913" s="133"/>
      <c r="HO913" s="133"/>
      <c r="HP913" s="133"/>
      <c r="HQ913" s="133"/>
      <c r="HR913" s="133"/>
      <c r="HS913" s="133"/>
      <c r="HT913" s="133"/>
      <c r="HU913" s="133"/>
      <c r="HV913" s="133"/>
      <c r="HW913" s="133"/>
      <c r="HX913" s="133"/>
      <c r="HY913" s="133"/>
      <c r="HZ913" s="133"/>
      <c r="IA913" s="133"/>
      <c r="IB913" s="133"/>
      <c r="IC913" s="133"/>
      <c r="ID913" s="133"/>
      <c r="IE913" s="133"/>
      <c r="IF913" s="133"/>
      <c r="IG913" s="133"/>
      <c r="IH913" s="133"/>
      <c r="II913" s="133"/>
      <c r="IJ913" s="133"/>
      <c r="IK913" s="133"/>
      <c r="IL913" s="133"/>
      <c r="IM913" s="133"/>
      <c r="IN913" s="133"/>
      <c r="IO913" s="133"/>
      <c r="IP913" s="133"/>
      <c r="IQ913" s="133"/>
      <c r="IR913" s="133"/>
      <c r="IS913" s="133"/>
      <c r="IT913" s="133"/>
      <c r="IU913" s="133"/>
      <c r="IV913" s="133"/>
    </row>
    <row r="914" spans="1:256" s="132" customFormat="1" ht="13.8">
      <c r="A914" s="133"/>
      <c r="B914" s="133"/>
      <c r="C914" s="133"/>
      <c r="D914" s="133"/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GE914" s="133"/>
      <c r="GF914" s="133"/>
      <c r="GG914" s="133"/>
      <c r="GH914" s="133"/>
      <c r="GI914" s="133"/>
      <c r="GJ914" s="133"/>
      <c r="GK914" s="133"/>
      <c r="GL914" s="133"/>
      <c r="GM914" s="133"/>
      <c r="GN914" s="133"/>
      <c r="GO914" s="133"/>
      <c r="GP914" s="133"/>
      <c r="GQ914" s="133"/>
      <c r="GR914" s="133"/>
      <c r="GS914" s="133"/>
      <c r="GT914" s="133"/>
      <c r="GU914" s="133"/>
      <c r="GV914" s="133"/>
      <c r="GW914" s="133"/>
      <c r="GX914" s="133"/>
      <c r="GY914" s="133"/>
      <c r="GZ914" s="133"/>
      <c r="HA914" s="133"/>
      <c r="HB914" s="133"/>
      <c r="HC914" s="133"/>
      <c r="HD914" s="133"/>
      <c r="HE914" s="133"/>
      <c r="HF914" s="133"/>
      <c r="HG914" s="133"/>
      <c r="HH914" s="133"/>
      <c r="HI914" s="133"/>
      <c r="HJ914" s="133"/>
      <c r="HK914" s="133"/>
      <c r="HL914" s="133"/>
      <c r="HM914" s="133"/>
      <c r="HN914" s="133"/>
      <c r="HO914" s="133"/>
      <c r="HP914" s="133"/>
      <c r="HQ914" s="133"/>
      <c r="HR914" s="133"/>
      <c r="HS914" s="133"/>
      <c r="HT914" s="133"/>
      <c r="HU914" s="133"/>
      <c r="HV914" s="133"/>
      <c r="HW914" s="133"/>
      <c r="HX914" s="133"/>
      <c r="HY914" s="133"/>
      <c r="HZ914" s="133"/>
      <c r="IA914" s="133"/>
      <c r="IB914" s="133"/>
      <c r="IC914" s="133"/>
      <c r="ID914" s="133"/>
      <c r="IE914" s="133"/>
      <c r="IF914" s="133"/>
      <c r="IG914" s="133"/>
      <c r="IH914" s="133"/>
      <c r="II914" s="133"/>
      <c r="IJ914" s="133"/>
      <c r="IK914" s="133"/>
      <c r="IL914" s="133"/>
      <c r="IM914" s="133"/>
      <c r="IN914" s="133"/>
      <c r="IO914" s="133"/>
      <c r="IP914" s="133"/>
      <c r="IQ914" s="133"/>
      <c r="IR914" s="133"/>
      <c r="IS914" s="133"/>
      <c r="IT914" s="133"/>
      <c r="IU914" s="133"/>
      <c r="IV914" s="133"/>
    </row>
    <row r="915" spans="1:256" s="132" customFormat="1" ht="13.8">
      <c r="A915" s="133"/>
      <c r="B915" s="133"/>
      <c r="C915" s="133"/>
      <c r="D915" s="133"/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GE915" s="133"/>
      <c r="GF915" s="133"/>
      <c r="GG915" s="133"/>
      <c r="GH915" s="133"/>
      <c r="GI915" s="133"/>
      <c r="GJ915" s="133"/>
      <c r="GK915" s="133"/>
      <c r="GL915" s="133"/>
      <c r="GM915" s="133"/>
      <c r="GN915" s="133"/>
      <c r="GO915" s="133"/>
      <c r="GP915" s="133"/>
      <c r="GQ915" s="133"/>
      <c r="GR915" s="133"/>
      <c r="GS915" s="133"/>
      <c r="GT915" s="133"/>
      <c r="GU915" s="133"/>
      <c r="GV915" s="133"/>
      <c r="GW915" s="133"/>
      <c r="GX915" s="133"/>
      <c r="GY915" s="133"/>
      <c r="GZ915" s="133"/>
      <c r="HA915" s="133"/>
      <c r="HB915" s="133"/>
      <c r="HC915" s="133"/>
      <c r="HD915" s="133"/>
      <c r="HE915" s="133"/>
      <c r="HF915" s="133"/>
      <c r="HG915" s="133"/>
      <c r="HH915" s="133"/>
      <c r="HI915" s="133"/>
      <c r="HJ915" s="133"/>
      <c r="HK915" s="133"/>
      <c r="HL915" s="133"/>
      <c r="HM915" s="133"/>
      <c r="HN915" s="133"/>
      <c r="HO915" s="133"/>
      <c r="HP915" s="133"/>
      <c r="HQ915" s="133"/>
      <c r="HR915" s="133"/>
      <c r="HS915" s="133"/>
      <c r="HT915" s="133"/>
      <c r="HU915" s="133"/>
      <c r="HV915" s="133"/>
      <c r="HW915" s="133"/>
      <c r="HX915" s="133"/>
      <c r="HY915" s="133"/>
      <c r="HZ915" s="133"/>
      <c r="IA915" s="133"/>
      <c r="IB915" s="133"/>
      <c r="IC915" s="133"/>
      <c r="ID915" s="133"/>
      <c r="IE915" s="133"/>
      <c r="IF915" s="133"/>
      <c r="IG915" s="133"/>
      <c r="IH915" s="133"/>
      <c r="II915" s="133"/>
      <c r="IJ915" s="133"/>
      <c r="IK915" s="133"/>
      <c r="IL915" s="133"/>
      <c r="IM915" s="133"/>
      <c r="IN915" s="133"/>
      <c r="IO915" s="133"/>
      <c r="IP915" s="133"/>
      <c r="IQ915" s="133"/>
      <c r="IR915" s="133"/>
      <c r="IS915" s="133"/>
      <c r="IT915" s="133"/>
      <c r="IU915" s="133"/>
      <c r="IV915" s="133"/>
    </row>
    <row r="916" spans="1:256" s="132" customFormat="1" ht="13.8">
      <c r="A916" s="133"/>
      <c r="B916" s="133"/>
      <c r="C916" s="133"/>
      <c r="D916" s="133"/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GE916" s="133"/>
      <c r="GF916" s="133"/>
      <c r="GG916" s="133"/>
      <c r="GH916" s="133"/>
      <c r="GI916" s="133"/>
      <c r="GJ916" s="133"/>
      <c r="GK916" s="133"/>
      <c r="GL916" s="133"/>
      <c r="GM916" s="133"/>
      <c r="GN916" s="133"/>
      <c r="GO916" s="133"/>
      <c r="GP916" s="133"/>
      <c r="GQ916" s="133"/>
      <c r="GR916" s="133"/>
      <c r="GS916" s="133"/>
      <c r="GT916" s="133"/>
      <c r="GU916" s="133"/>
      <c r="GV916" s="133"/>
      <c r="GW916" s="133"/>
      <c r="GX916" s="133"/>
      <c r="GY916" s="133"/>
      <c r="GZ916" s="133"/>
      <c r="HA916" s="133"/>
      <c r="HB916" s="133"/>
      <c r="HC916" s="133"/>
      <c r="HD916" s="133"/>
      <c r="HE916" s="133"/>
      <c r="HF916" s="133"/>
      <c r="HG916" s="133"/>
      <c r="HH916" s="133"/>
      <c r="HI916" s="133"/>
      <c r="HJ916" s="133"/>
      <c r="HK916" s="133"/>
      <c r="HL916" s="133"/>
      <c r="HM916" s="133"/>
      <c r="HN916" s="133"/>
      <c r="HO916" s="133"/>
      <c r="HP916" s="133"/>
      <c r="HQ916" s="133"/>
      <c r="HR916" s="133"/>
      <c r="HS916" s="133"/>
      <c r="HT916" s="133"/>
      <c r="HU916" s="133"/>
      <c r="HV916" s="133"/>
      <c r="HW916" s="133"/>
      <c r="HX916" s="133"/>
      <c r="HY916" s="133"/>
      <c r="HZ916" s="133"/>
      <c r="IA916" s="133"/>
      <c r="IB916" s="133"/>
      <c r="IC916" s="133"/>
      <c r="ID916" s="133"/>
      <c r="IE916" s="133"/>
      <c r="IF916" s="133"/>
      <c r="IG916" s="133"/>
      <c r="IH916" s="133"/>
      <c r="II916" s="133"/>
      <c r="IJ916" s="133"/>
      <c r="IK916" s="133"/>
      <c r="IL916" s="133"/>
      <c r="IM916" s="133"/>
      <c r="IN916" s="133"/>
      <c r="IO916" s="133"/>
      <c r="IP916" s="133"/>
      <c r="IQ916" s="133"/>
      <c r="IR916" s="133"/>
      <c r="IS916" s="133"/>
      <c r="IT916" s="133"/>
      <c r="IU916" s="133"/>
      <c r="IV916" s="133"/>
    </row>
    <row r="917" spans="1:256" s="132" customFormat="1" ht="13.8">
      <c r="A917" s="133"/>
      <c r="B917" s="133"/>
      <c r="C917" s="133"/>
      <c r="D917" s="133"/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GE917" s="133"/>
      <c r="GF917" s="133"/>
      <c r="GG917" s="133"/>
      <c r="GH917" s="133"/>
      <c r="GI917" s="133"/>
      <c r="GJ917" s="133"/>
      <c r="GK917" s="133"/>
      <c r="GL917" s="133"/>
      <c r="GM917" s="133"/>
      <c r="GN917" s="133"/>
      <c r="GO917" s="133"/>
      <c r="GP917" s="133"/>
      <c r="GQ917" s="133"/>
      <c r="GR917" s="133"/>
      <c r="GS917" s="133"/>
      <c r="GT917" s="133"/>
      <c r="GU917" s="133"/>
      <c r="GV917" s="133"/>
      <c r="GW917" s="133"/>
      <c r="GX917" s="133"/>
      <c r="GY917" s="133"/>
      <c r="GZ917" s="133"/>
      <c r="HA917" s="133"/>
      <c r="HB917" s="133"/>
      <c r="HC917" s="133"/>
      <c r="HD917" s="133"/>
      <c r="HE917" s="133"/>
      <c r="HF917" s="133"/>
      <c r="HG917" s="133"/>
      <c r="HH917" s="133"/>
      <c r="HI917" s="133"/>
      <c r="HJ917" s="133"/>
      <c r="HK917" s="133"/>
      <c r="HL917" s="133"/>
      <c r="HM917" s="133"/>
      <c r="HN917" s="133"/>
      <c r="HO917" s="133"/>
      <c r="HP917" s="133"/>
      <c r="HQ917" s="133"/>
      <c r="HR917" s="133"/>
      <c r="HS917" s="133"/>
      <c r="HT917" s="133"/>
      <c r="HU917" s="133"/>
      <c r="HV917" s="133"/>
      <c r="HW917" s="133"/>
      <c r="HX917" s="133"/>
      <c r="HY917" s="133"/>
      <c r="HZ917" s="133"/>
      <c r="IA917" s="133"/>
      <c r="IB917" s="133"/>
      <c r="IC917" s="133"/>
      <c r="ID917" s="133"/>
      <c r="IE917" s="133"/>
      <c r="IF917" s="133"/>
      <c r="IG917" s="133"/>
      <c r="IH917" s="133"/>
      <c r="II917" s="133"/>
      <c r="IJ917" s="133"/>
      <c r="IK917" s="133"/>
      <c r="IL917" s="133"/>
      <c r="IM917" s="133"/>
      <c r="IN917" s="133"/>
      <c r="IO917" s="133"/>
      <c r="IP917" s="133"/>
      <c r="IQ917" s="133"/>
      <c r="IR917" s="133"/>
      <c r="IS917" s="133"/>
      <c r="IT917" s="133"/>
      <c r="IU917" s="133"/>
      <c r="IV917" s="133"/>
    </row>
    <row r="918" spans="1:256" s="132" customFormat="1" ht="13.8">
      <c r="A918" s="133"/>
      <c r="B918" s="133"/>
      <c r="C918" s="133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GE918" s="133"/>
      <c r="GF918" s="133"/>
      <c r="GG918" s="133"/>
      <c r="GH918" s="133"/>
      <c r="GI918" s="133"/>
      <c r="GJ918" s="133"/>
      <c r="GK918" s="133"/>
      <c r="GL918" s="133"/>
      <c r="GM918" s="133"/>
      <c r="GN918" s="133"/>
      <c r="GO918" s="133"/>
      <c r="GP918" s="133"/>
      <c r="GQ918" s="133"/>
      <c r="GR918" s="133"/>
      <c r="GS918" s="133"/>
      <c r="GT918" s="133"/>
      <c r="GU918" s="133"/>
      <c r="GV918" s="133"/>
      <c r="GW918" s="133"/>
      <c r="GX918" s="133"/>
      <c r="GY918" s="133"/>
      <c r="GZ918" s="133"/>
      <c r="HA918" s="133"/>
      <c r="HB918" s="133"/>
      <c r="HC918" s="133"/>
      <c r="HD918" s="133"/>
      <c r="HE918" s="133"/>
      <c r="HF918" s="133"/>
      <c r="HG918" s="133"/>
      <c r="HH918" s="133"/>
      <c r="HI918" s="133"/>
      <c r="HJ918" s="133"/>
      <c r="HK918" s="133"/>
      <c r="HL918" s="133"/>
      <c r="HM918" s="133"/>
      <c r="HN918" s="133"/>
      <c r="HO918" s="133"/>
      <c r="HP918" s="133"/>
      <c r="HQ918" s="133"/>
      <c r="HR918" s="133"/>
      <c r="HS918" s="133"/>
      <c r="HT918" s="133"/>
      <c r="HU918" s="133"/>
      <c r="HV918" s="133"/>
      <c r="HW918" s="133"/>
      <c r="HX918" s="133"/>
      <c r="HY918" s="133"/>
      <c r="HZ918" s="133"/>
      <c r="IA918" s="133"/>
      <c r="IB918" s="133"/>
      <c r="IC918" s="133"/>
      <c r="ID918" s="133"/>
      <c r="IE918" s="133"/>
      <c r="IF918" s="133"/>
      <c r="IG918" s="133"/>
      <c r="IH918" s="133"/>
      <c r="II918" s="133"/>
      <c r="IJ918" s="133"/>
      <c r="IK918" s="133"/>
      <c r="IL918" s="133"/>
      <c r="IM918" s="133"/>
      <c r="IN918" s="133"/>
      <c r="IO918" s="133"/>
      <c r="IP918" s="133"/>
      <c r="IQ918" s="133"/>
      <c r="IR918" s="133"/>
      <c r="IS918" s="133"/>
      <c r="IT918" s="133"/>
      <c r="IU918" s="133"/>
      <c r="IV918" s="133"/>
    </row>
    <row r="919" spans="1:256" s="132" customFormat="1" ht="13.8">
      <c r="A919" s="133"/>
      <c r="B919" s="133"/>
      <c r="C919" s="133"/>
      <c r="D919" s="133"/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GE919" s="133"/>
      <c r="GF919" s="133"/>
      <c r="GG919" s="133"/>
      <c r="GH919" s="133"/>
      <c r="GI919" s="133"/>
      <c r="GJ919" s="133"/>
      <c r="GK919" s="133"/>
      <c r="GL919" s="133"/>
      <c r="GM919" s="133"/>
      <c r="GN919" s="133"/>
      <c r="GO919" s="133"/>
      <c r="GP919" s="133"/>
      <c r="GQ919" s="133"/>
      <c r="GR919" s="133"/>
      <c r="GS919" s="133"/>
      <c r="GT919" s="133"/>
      <c r="GU919" s="133"/>
      <c r="GV919" s="133"/>
      <c r="GW919" s="133"/>
      <c r="GX919" s="133"/>
      <c r="GY919" s="133"/>
      <c r="GZ919" s="133"/>
      <c r="HA919" s="133"/>
      <c r="HB919" s="133"/>
      <c r="HC919" s="133"/>
      <c r="HD919" s="133"/>
      <c r="HE919" s="133"/>
      <c r="HF919" s="133"/>
      <c r="HG919" s="133"/>
      <c r="HH919" s="133"/>
      <c r="HI919" s="133"/>
      <c r="HJ919" s="133"/>
      <c r="HK919" s="133"/>
      <c r="HL919" s="133"/>
      <c r="HM919" s="133"/>
      <c r="HN919" s="133"/>
      <c r="HO919" s="133"/>
      <c r="HP919" s="133"/>
      <c r="HQ919" s="133"/>
      <c r="HR919" s="133"/>
      <c r="HS919" s="133"/>
      <c r="HT919" s="133"/>
      <c r="HU919" s="133"/>
      <c r="HV919" s="133"/>
      <c r="HW919" s="133"/>
      <c r="HX919" s="133"/>
      <c r="HY919" s="133"/>
      <c r="HZ919" s="133"/>
      <c r="IA919" s="133"/>
      <c r="IB919" s="133"/>
      <c r="IC919" s="133"/>
      <c r="ID919" s="133"/>
      <c r="IE919" s="133"/>
      <c r="IF919" s="133"/>
      <c r="IG919" s="133"/>
      <c r="IH919" s="133"/>
      <c r="II919" s="133"/>
      <c r="IJ919" s="133"/>
      <c r="IK919" s="133"/>
      <c r="IL919" s="133"/>
      <c r="IM919" s="133"/>
      <c r="IN919" s="133"/>
      <c r="IO919" s="133"/>
      <c r="IP919" s="133"/>
      <c r="IQ919" s="133"/>
      <c r="IR919" s="133"/>
      <c r="IS919" s="133"/>
      <c r="IT919" s="133"/>
      <c r="IU919" s="133"/>
      <c r="IV919" s="133"/>
    </row>
    <row r="920" spans="1:256" s="132" customFormat="1" ht="13.8">
      <c r="A920" s="133"/>
      <c r="B920" s="133"/>
      <c r="C920" s="133"/>
      <c r="D920" s="133"/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GE920" s="133"/>
      <c r="GF920" s="133"/>
      <c r="GG920" s="133"/>
      <c r="GH920" s="133"/>
      <c r="GI920" s="133"/>
      <c r="GJ920" s="133"/>
      <c r="GK920" s="133"/>
      <c r="GL920" s="133"/>
      <c r="GM920" s="133"/>
      <c r="GN920" s="133"/>
      <c r="GO920" s="133"/>
      <c r="GP920" s="133"/>
      <c r="GQ920" s="133"/>
      <c r="GR920" s="133"/>
      <c r="GS920" s="133"/>
      <c r="GT920" s="133"/>
      <c r="GU920" s="133"/>
      <c r="GV920" s="133"/>
      <c r="GW920" s="133"/>
      <c r="GX920" s="133"/>
      <c r="GY920" s="133"/>
      <c r="GZ920" s="133"/>
      <c r="HA920" s="133"/>
      <c r="HB920" s="133"/>
      <c r="HC920" s="133"/>
      <c r="HD920" s="133"/>
      <c r="HE920" s="133"/>
      <c r="HF920" s="133"/>
      <c r="HG920" s="133"/>
      <c r="HH920" s="133"/>
      <c r="HI920" s="133"/>
      <c r="HJ920" s="133"/>
      <c r="HK920" s="133"/>
      <c r="HL920" s="133"/>
      <c r="HM920" s="133"/>
      <c r="HN920" s="133"/>
      <c r="HO920" s="133"/>
      <c r="HP920" s="133"/>
      <c r="HQ920" s="133"/>
      <c r="HR920" s="133"/>
      <c r="HS920" s="133"/>
      <c r="HT920" s="133"/>
      <c r="HU920" s="133"/>
      <c r="HV920" s="133"/>
      <c r="HW920" s="133"/>
      <c r="HX920" s="133"/>
      <c r="HY920" s="133"/>
      <c r="HZ920" s="133"/>
      <c r="IA920" s="133"/>
      <c r="IB920" s="133"/>
      <c r="IC920" s="133"/>
      <c r="ID920" s="133"/>
      <c r="IE920" s="133"/>
      <c r="IF920" s="133"/>
      <c r="IG920" s="133"/>
      <c r="IH920" s="133"/>
      <c r="II920" s="133"/>
      <c r="IJ920" s="133"/>
      <c r="IK920" s="133"/>
      <c r="IL920" s="133"/>
      <c r="IM920" s="133"/>
      <c r="IN920" s="133"/>
      <c r="IO920" s="133"/>
      <c r="IP920" s="133"/>
      <c r="IQ920" s="133"/>
      <c r="IR920" s="133"/>
      <c r="IS920" s="133"/>
      <c r="IT920" s="133"/>
      <c r="IU920" s="133"/>
      <c r="IV920" s="133"/>
    </row>
    <row r="921" spans="1:256" s="132" customFormat="1" ht="13.8">
      <c r="A921" s="133"/>
      <c r="B921" s="133"/>
      <c r="C921" s="133"/>
      <c r="D921" s="133"/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GE921" s="133"/>
      <c r="GF921" s="133"/>
      <c r="GG921" s="133"/>
      <c r="GH921" s="133"/>
      <c r="GI921" s="133"/>
      <c r="GJ921" s="133"/>
      <c r="GK921" s="133"/>
      <c r="GL921" s="133"/>
      <c r="GM921" s="133"/>
      <c r="GN921" s="133"/>
      <c r="GO921" s="133"/>
      <c r="GP921" s="133"/>
      <c r="GQ921" s="133"/>
      <c r="GR921" s="133"/>
      <c r="GS921" s="133"/>
      <c r="GT921" s="133"/>
      <c r="GU921" s="133"/>
      <c r="GV921" s="133"/>
      <c r="GW921" s="133"/>
      <c r="GX921" s="133"/>
      <c r="GY921" s="133"/>
      <c r="GZ921" s="133"/>
      <c r="HA921" s="133"/>
      <c r="HB921" s="133"/>
      <c r="HC921" s="133"/>
      <c r="HD921" s="133"/>
      <c r="HE921" s="133"/>
      <c r="HF921" s="133"/>
      <c r="HG921" s="133"/>
      <c r="HH921" s="133"/>
      <c r="HI921" s="133"/>
      <c r="HJ921" s="133"/>
      <c r="HK921" s="133"/>
      <c r="HL921" s="133"/>
      <c r="HM921" s="133"/>
      <c r="HN921" s="133"/>
      <c r="HO921" s="133"/>
      <c r="HP921" s="133"/>
      <c r="HQ921" s="133"/>
      <c r="HR921" s="133"/>
      <c r="HS921" s="133"/>
      <c r="HT921" s="133"/>
      <c r="HU921" s="133"/>
      <c r="HV921" s="133"/>
      <c r="HW921" s="133"/>
      <c r="HX921" s="133"/>
      <c r="HY921" s="133"/>
      <c r="HZ921" s="133"/>
      <c r="IA921" s="133"/>
      <c r="IB921" s="133"/>
      <c r="IC921" s="133"/>
      <c r="ID921" s="133"/>
      <c r="IE921" s="133"/>
      <c r="IF921" s="133"/>
      <c r="IG921" s="133"/>
      <c r="IH921" s="133"/>
      <c r="II921" s="133"/>
      <c r="IJ921" s="133"/>
      <c r="IK921" s="133"/>
      <c r="IL921" s="133"/>
      <c r="IM921" s="133"/>
      <c r="IN921" s="133"/>
      <c r="IO921" s="133"/>
      <c r="IP921" s="133"/>
      <c r="IQ921" s="133"/>
      <c r="IR921" s="133"/>
      <c r="IS921" s="133"/>
      <c r="IT921" s="133"/>
      <c r="IU921" s="133"/>
      <c r="IV921" s="133"/>
    </row>
    <row r="922" spans="1:256" s="132" customFormat="1" ht="13.8">
      <c r="A922" s="133"/>
      <c r="B922" s="133"/>
      <c r="C922" s="133"/>
      <c r="D922" s="133"/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GE922" s="133"/>
      <c r="GF922" s="133"/>
      <c r="GG922" s="133"/>
      <c r="GH922" s="133"/>
      <c r="GI922" s="133"/>
      <c r="GJ922" s="133"/>
      <c r="GK922" s="133"/>
      <c r="GL922" s="133"/>
      <c r="GM922" s="133"/>
      <c r="GN922" s="133"/>
      <c r="GO922" s="133"/>
      <c r="GP922" s="133"/>
      <c r="GQ922" s="133"/>
      <c r="GR922" s="133"/>
      <c r="GS922" s="133"/>
      <c r="GT922" s="133"/>
      <c r="GU922" s="133"/>
      <c r="GV922" s="133"/>
      <c r="GW922" s="133"/>
      <c r="GX922" s="133"/>
      <c r="GY922" s="133"/>
      <c r="GZ922" s="133"/>
      <c r="HA922" s="133"/>
      <c r="HB922" s="133"/>
      <c r="HC922" s="133"/>
      <c r="HD922" s="133"/>
      <c r="HE922" s="133"/>
      <c r="HF922" s="133"/>
      <c r="HG922" s="133"/>
      <c r="HH922" s="133"/>
      <c r="HI922" s="133"/>
      <c r="HJ922" s="133"/>
      <c r="HK922" s="133"/>
      <c r="HL922" s="133"/>
      <c r="HM922" s="133"/>
      <c r="HN922" s="133"/>
      <c r="HO922" s="133"/>
      <c r="HP922" s="133"/>
      <c r="HQ922" s="133"/>
      <c r="HR922" s="133"/>
      <c r="HS922" s="133"/>
      <c r="HT922" s="133"/>
      <c r="HU922" s="133"/>
      <c r="HV922" s="133"/>
      <c r="HW922" s="133"/>
      <c r="HX922" s="133"/>
      <c r="HY922" s="133"/>
      <c r="HZ922" s="133"/>
      <c r="IA922" s="133"/>
      <c r="IB922" s="133"/>
      <c r="IC922" s="133"/>
      <c r="ID922" s="133"/>
      <c r="IE922" s="133"/>
      <c r="IF922" s="133"/>
      <c r="IG922" s="133"/>
      <c r="IH922" s="133"/>
      <c r="II922" s="133"/>
      <c r="IJ922" s="133"/>
      <c r="IK922" s="133"/>
      <c r="IL922" s="133"/>
      <c r="IM922" s="133"/>
      <c r="IN922" s="133"/>
      <c r="IO922" s="133"/>
      <c r="IP922" s="133"/>
      <c r="IQ922" s="133"/>
      <c r="IR922" s="133"/>
      <c r="IS922" s="133"/>
      <c r="IT922" s="133"/>
      <c r="IU922" s="133"/>
      <c r="IV922" s="133"/>
    </row>
    <row r="923" spans="1:256" s="132" customFormat="1" ht="13.8">
      <c r="A923" s="133"/>
      <c r="B923" s="133"/>
      <c r="C923" s="133"/>
      <c r="D923" s="133"/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GE923" s="133"/>
      <c r="GF923" s="133"/>
      <c r="GG923" s="133"/>
      <c r="GH923" s="133"/>
      <c r="GI923" s="133"/>
      <c r="GJ923" s="133"/>
      <c r="GK923" s="133"/>
      <c r="GL923" s="133"/>
      <c r="GM923" s="133"/>
      <c r="GN923" s="133"/>
      <c r="GO923" s="133"/>
      <c r="GP923" s="133"/>
      <c r="GQ923" s="133"/>
      <c r="GR923" s="133"/>
      <c r="GS923" s="133"/>
      <c r="GT923" s="133"/>
      <c r="GU923" s="133"/>
      <c r="GV923" s="133"/>
      <c r="GW923" s="133"/>
      <c r="GX923" s="133"/>
      <c r="GY923" s="133"/>
      <c r="GZ923" s="133"/>
      <c r="HA923" s="133"/>
      <c r="HB923" s="133"/>
      <c r="HC923" s="133"/>
      <c r="HD923" s="133"/>
      <c r="HE923" s="133"/>
      <c r="HF923" s="133"/>
      <c r="HG923" s="133"/>
      <c r="HH923" s="133"/>
      <c r="HI923" s="133"/>
      <c r="HJ923" s="133"/>
      <c r="HK923" s="133"/>
      <c r="HL923" s="133"/>
      <c r="HM923" s="133"/>
      <c r="HN923" s="133"/>
      <c r="HO923" s="133"/>
      <c r="HP923" s="133"/>
      <c r="HQ923" s="133"/>
      <c r="HR923" s="133"/>
      <c r="HS923" s="133"/>
      <c r="HT923" s="133"/>
      <c r="HU923" s="133"/>
      <c r="HV923" s="133"/>
      <c r="HW923" s="133"/>
      <c r="HX923" s="133"/>
      <c r="HY923" s="133"/>
      <c r="HZ923" s="133"/>
      <c r="IA923" s="133"/>
      <c r="IB923" s="133"/>
      <c r="IC923" s="133"/>
      <c r="ID923" s="133"/>
      <c r="IE923" s="133"/>
      <c r="IF923" s="133"/>
      <c r="IG923" s="133"/>
      <c r="IH923" s="133"/>
      <c r="II923" s="133"/>
      <c r="IJ923" s="133"/>
      <c r="IK923" s="133"/>
      <c r="IL923" s="133"/>
      <c r="IM923" s="133"/>
      <c r="IN923" s="133"/>
      <c r="IO923" s="133"/>
      <c r="IP923" s="133"/>
      <c r="IQ923" s="133"/>
      <c r="IR923" s="133"/>
      <c r="IS923" s="133"/>
      <c r="IT923" s="133"/>
      <c r="IU923" s="133"/>
      <c r="IV923" s="133"/>
    </row>
    <row r="924" spans="1:256" s="132" customFormat="1" ht="13.8">
      <c r="A924" s="133"/>
      <c r="B924" s="133"/>
      <c r="C924" s="133"/>
      <c r="D924" s="133"/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GE924" s="133"/>
      <c r="GF924" s="133"/>
      <c r="GG924" s="133"/>
      <c r="GH924" s="133"/>
      <c r="GI924" s="133"/>
      <c r="GJ924" s="133"/>
      <c r="GK924" s="133"/>
      <c r="GL924" s="133"/>
      <c r="GM924" s="133"/>
      <c r="GN924" s="133"/>
      <c r="GO924" s="133"/>
      <c r="GP924" s="133"/>
      <c r="GQ924" s="133"/>
      <c r="GR924" s="133"/>
      <c r="GS924" s="133"/>
      <c r="GT924" s="133"/>
      <c r="GU924" s="133"/>
      <c r="GV924" s="133"/>
      <c r="GW924" s="133"/>
      <c r="GX924" s="133"/>
      <c r="GY924" s="133"/>
      <c r="GZ924" s="133"/>
      <c r="HA924" s="133"/>
      <c r="HB924" s="133"/>
      <c r="HC924" s="133"/>
      <c r="HD924" s="133"/>
      <c r="HE924" s="133"/>
      <c r="HF924" s="133"/>
      <c r="HG924" s="133"/>
      <c r="HH924" s="133"/>
      <c r="HI924" s="133"/>
      <c r="HJ924" s="133"/>
      <c r="HK924" s="133"/>
      <c r="HL924" s="133"/>
      <c r="HM924" s="133"/>
      <c r="HN924" s="133"/>
      <c r="HO924" s="133"/>
      <c r="HP924" s="133"/>
      <c r="HQ924" s="133"/>
      <c r="HR924" s="133"/>
      <c r="HS924" s="133"/>
      <c r="HT924" s="133"/>
      <c r="HU924" s="133"/>
      <c r="HV924" s="133"/>
      <c r="HW924" s="133"/>
      <c r="HX924" s="133"/>
      <c r="HY924" s="133"/>
      <c r="HZ924" s="133"/>
      <c r="IA924" s="133"/>
      <c r="IB924" s="133"/>
      <c r="IC924" s="133"/>
      <c r="ID924" s="133"/>
      <c r="IE924" s="133"/>
      <c r="IF924" s="133"/>
      <c r="IG924" s="133"/>
      <c r="IH924" s="133"/>
      <c r="II924" s="133"/>
      <c r="IJ924" s="133"/>
      <c r="IK924" s="133"/>
      <c r="IL924" s="133"/>
      <c r="IM924" s="133"/>
      <c r="IN924" s="133"/>
      <c r="IO924" s="133"/>
      <c r="IP924" s="133"/>
      <c r="IQ924" s="133"/>
      <c r="IR924" s="133"/>
      <c r="IS924" s="133"/>
      <c r="IT924" s="133"/>
      <c r="IU924" s="133"/>
      <c r="IV924" s="133"/>
    </row>
    <row r="925" spans="1:256" s="132" customFormat="1" ht="13.8">
      <c r="A925" s="133"/>
      <c r="B925" s="133"/>
      <c r="C925" s="133"/>
      <c r="D925" s="133"/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GE925" s="133"/>
      <c r="GF925" s="133"/>
      <c r="GG925" s="133"/>
      <c r="GH925" s="133"/>
      <c r="GI925" s="133"/>
      <c r="GJ925" s="133"/>
      <c r="GK925" s="133"/>
      <c r="GL925" s="133"/>
      <c r="GM925" s="133"/>
      <c r="GN925" s="133"/>
      <c r="GO925" s="133"/>
      <c r="GP925" s="133"/>
      <c r="GQ925" s="133"/>
      <c r="GR925" s="133"/>
      <c r="GS925" s="133"/>
      <c r="GT925" s="133"/>
      <c r="GU925" s="133"/>
      <c r="GV925" s="133"/>
      <c r="GW925" s="133"/>
      <c r="GX925" s="133"/>
      <c r="GY925" s="133"/>
      <c r="GZ925" s="133"/>
      <c r="HA925" s="133"/>
      <c r="HB925" s="133"/>
      <c r="HC925" s="133"/>
      <c r="HD925" s="133"/>
      <c r="HE925" s="133"/>
      <c r="HF925" s="133"/>
      <c r="HG925" s="133"/>
      <c r="HH925" s="133"/>
      <c r="HI925" s="133"/>
      <c r="HJ925" s="133"/>
      <c r="HK925" s="133"/>
      <c r="HL925" s="133"/>
      <c r="HM925" s="133"/>
      <c r="HN925" s="133"/>
      <c r="HO925" s="133"/>
      <c r="HP925" s="133"/>
      <c r="HQ925" s="133"/>
      <c r="HR925" s="133"/>
      <c r="HS925" s="133"/>
      <c r="HT925" s="133"/>
      <c r="HU925" s="133"/>
      <c r="HV925" s="133"/>
      <c r="HW925" s="133"/>
      <c r="HX925" s="133"/>
      <c r="HY925" s="133"/>
      <c r="HZ925" s="133"/>
      <c r="IA925" s="133"/>
      <c r="IB925" s="133"/>
      <c r="IC925" s="133"/>
      <c r="ID925" s="133"/>
      <c r="IE925" s="133"/>
      <c r="IF925" s="133"/>
      <c r="IG925" s="133"/>
      <c r="IH925" s="133"/>
      <c r="II925" s="133"/>
      <c r="IJ925" s="133"/>
      <c r="IK925" s="133"/>
      <c r="IL925" s="133"/>
      <c r="IM925" s="133"/>
      <c r="IN925" s="133"/>
      <c r="IO925" s="133"/>
      <c r="IP925" s="133"/>
      <c r="IQ925" s="133"/>
      <c r="IR925" s="133"/>
      <c r="IS925" s="133"/>
      <c r="IT925" s="133"/>
      <c r="IU925" s="133"/>
      <c r="IV925" s="133"/>
    </row>
    <row r="926" spans="1:256" s="132" customFormat="1" ht="13.8">
      <c r="A926" s="133"/>
      <c r="B926" s="133"/>
      <c r="C926" s="133"/>
      <c r="D926" s="133"/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GE926" s="133"/>
      <c r="GF926" s="133"/>
      <c r="GG926" s="133"/>
      <c r="GH926" s="133"/>
      <c r="GI926" s="133"/>
      <c r="GJ926" s="133"/>
      <c r="GK926" s="133"/>
      <c r="GL926" s="133"/>
      <c r="GM926" s="133"/>
      <c r="GN926" s="133"/>
      <c r="GO926" s="133"/>
      <c r="GP926" s="133"/>
      <c r="GQ926" s="133"/>
      <c r="GR926" s="133"/>
      <c r="GS926" s="133"/>
      <c r="GT926" s="133"/>
      <c r="GU926" s="133"/>
      <c r="GV926" s="133"/>
      <c r="GW926" s="133"/>
      <c r="GX926" s="133"/>
      <c r="GY926" s="133"/>
      <c r="GZ926" s="133"/>
      <c r="HA926" s="133"/>
      <c r="HB926" s="133"/>
      <c r="HC926" s="133"/>
      <c r="HD926" s="133"/>
      <c r="HE926" s="133"/>
      <c r="HF926" s="133"/>
      <c r="HG926" s="133"/>
      <c r="HH926" s="133"/>
      <c r="HI926" s="133"/>
      <c r="HJ926" s="133"/>
      <c r="HK926" s="133"/>
      <c r="HL926" s="133"/>
      <c r="HM926" s="133"/>
      <c r="HN926" s="133"/>
      <c r="HO926" s="133"/>
      <c r="HP926" s="133"/>
      <c r="HQ926" s="133"/>
      <c r="HR926" s="133"/>
      <c r="HS926" s="133"/>
      <c r="HT926" s="133"/>
      <c r="HU926" s="133"/>
      <c r="HV926" s="133"/>
      <c r="HW926" s="133"/>
      <c r="HX926" s="133"/>
      <c r="HY926" s="133"/>
      <c r="HZ926" s="133"/>
      <c r="IA926" s="133"/>
      <c r="IB926" s="133"/>
      <c r="IC926" s="133"/>
      <c r="ID926" s="133"/>
      <c r="IE926" s="133"/>
      <c r="IF926" s="133"/>
      <c r="IG926" s="133"/>
      <c r="IH926" s="133"/>
      <c r="II926" s="133"/>
      <c r="IJ926" s="133"/>
      <c r="IK926" s="133"/>
      <c r="IL926" s="133"/>
      <c r="IM926" s="133"/>
      <c r="IN926" s="133"/>
      <c r="IO926" s="133"/>
      <c r="IP926" s="133"/>
      <c r="IQ926" s="133"/>
      <c r="IR926" s="133"/>
      <c r="IS926" s="133"/>
      <c r="IT926" s="133"/>
      <c r="IU926" s="133"/>
      <c r="IV926" s="133"/>
    </row>
    <row r="927" spans="1:256" s="132" customFormat="1" ht="13.8">
      <c r="A927" s="133"/>
      <c r="B927" s="133"/>
      <c r="C927" s="133"/>
      <c r="D927" s="133"/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GE927" s="133"/>
      <c r="GF927" s="133"/>
      <c r="GG927" s="133"/>
      <c r="GH927" s="133"/>
      <c r="GI927" s="133"/>
      <c r="GJ927" s="133"/>
      <c r="GK927" s="133"/>
      <c r="GL927" s="133"/>
      <c r="GM927" s="133"/>
      <c r="GN927" s="133"/>
      <c r="GO927" s="133"/>
      <c r="GP927" s="133"/>
      <c r="GQ927" s="133"/>
      <c r="GR927" s="133"/>
      <c r="GS927" s="133"/>
      <c r="GT927" s="133"/>
      <c r="GU927" s="133"/>
      <c r="GV927" s="133"/>
      <c r="GW927" s="133"/>
      <c r="GX927" s="133"/>
      <c r="GY927" s="133"/>
      <c r="GZ927" s="133"/>
      <c r="HA927" s="133"/>
      <c r="HB927" s="133"/>
      <c r="HC927" s="133"/>
      <c r="HD927" s="133"/>
      <c r="HE927" s="133"/>
      <c r="HF927" s="133"/>
      <c r="HG927" s="133"/>
      <c r="HH927" s="133"/>
      <c r="HI927" s="133"/>
      <c r="HJ927" s="133"/>
      <c r="HK927" s="133"/>
      <c r="HL927" s="133"/>
      <c r="HM927" s="133"/>
      <c r="HN927" s="133"/>
      <c r="HO927" s="133"/>
      <c r="HP927" s="133"/>
      <c r="HQ927" s="133"/>
      <c r="HR927" s="133"/>
      <c r="HS927" s="133"/>
      <c r="HT927" s="133"/>
      <c r="HU927" s="133"/>
      <c r="HV927" s="133"/>
      <c r="HW927" s="133"/>
      <c r="HX927" s="133"/>
      <c r="HY927" s="133"/>
      <c r="HZ927" s="133"/>
      <c r="IA927" s="133"/>
      <c r="IB927" s="133"/>
      <c r="IC927" s="133"/>
      <c r="ID927" s="133"/>
      <c r="IE927" s="133"/>
      <c r="IF927" s="133"/>
      <c r="IG927" s="133"/>
      <c r="IH927" s="133"/>
      <c r="II927" s="133"/>
      <c r="IJ927" s="133"/>
      <c r="IK927" s="133"/>
      <c r="IL927" s="133"/>
      <c r="IM927" s="133"/>
      <c r="IN927" s="133"/>
      <c r="IO927" s="133"/>
      <c r="IP927" s="133"/>
      <c r="IQ927" s="133"/>
      <c r="IR927" s="133"/>
      <c r="IS927" s="133"/>
      <c r="IT927" s="133"/>
      <c r="IU927" s="133"/>
      <c r="IV927" s="133"/>
    </row>
    <row r="928" spans="1:256" s="132" customFormat="1" ht="13.8">
      <c r="A928" s="133"/>
      <c r="B928" s="133"/>
      <c r="C928" s="133"/>
      <c r="D928" s="133"/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GE928" s="133"/>
      <c r="GF928" s="133"/>
      <c r="GG928" s="133"/>
      <c r="GH928" s="133"/>
      <c r="GI928" s="133"/>
      <c r="GJ928" s="133"/>
      <c r="GK928" s="133"/>
      <c r="GL928" s="133"/>
      <c r="GM928" s="133"/>
      <c r="GN928" s="133"/>
      <c r="GO928" s="133"/>
      <c r="GP928" s="133"/>
      <c r="GQ928" s="133"/>
      <c r="GR928" s="133"/>
      <c r="GS928" s="133"/>
      <c r="GT928" s="133"/>
      <c r="GU928" s="133"/>
      <c r="GV928" s="133"/>
      <c r="GW928" s="133"/>
      <c r="GX928" s="133"/>
      <c r="GY928" s="133"/>
      <c r="GZ928" s="133"/>
      <c r="HA928" s="133"/>
      <c r="HB928" s="133"/>
      <c r="HC928" s="133"/>
      <c r="HD928" s="133"/>
      <c r="HE928" s="133"/>
      <c r="HF928" s="133"/>
      <c r="HG928" s="133"/>
      <c r="HH928" s="133"/>
      <c r="HI928" s="133"/>
      <c r="HJ928" s="133"/>
      <c r="HK928" s="133"/>
      <c r="HL928" s="133"/>
      <c r="HM928" s="133"/>
      <c r="HN928" s="133"/>
      <c r="HO928" s="133"/>
      <c r="HP928" s="133"/>
      <c r="HQ928" s="133"/>
      <c r="HR928" s="133"/>
      <c r="HS928" s="133"/>
      <c r="HT928" s="133"/>
      <c r="HU928" s="133"/>
      <c r="HV928" s="133"/>
      <c r="HW928" s="133"/>
      <c r="HX928" s="133"/>
      <c r="HY928" s="133"/>
      <c r="HZ928" s="133"/>
      <c r="IA928" s="133"/>
      <c r="IB928" s="133"/>
      <c r="IC928" s="133"/>
      <c r="ID928" s="133"/>
      <c r="IE928" s="133"/>
      <c r="IF928" s="133"/>
      <c r="IG928" s="133"/>
      <c r="IH928" s="133"/>
      <c r="II928" s="133"/>
      <c r="IJ928" s="133"/>
      <c r="IK928" s="133"/>
      <c r="IL928" s="133"/>
      <c r="IM928" s="133"/>
      <c r="IN928" s="133"/>
      <c r="IO928" s="133"/>
      <c r="IP928" s="133"/>
      <c r="IQ928" s="133"/>
      <c r="IR928" s="133"/>
      <c r="IS928" s="133"/>
      <c r="IT928" s="133"/>
      <c r="IU928" s="133"/>
      <c r="IV928" s="133"/>
    </row>
    <row r="929" spans="1:256" s="132" customFormat="1" ht="13.8">
      <c r="A929" s="133"/>
      <c r="B929" s="133"/>
      <c r="C929" s="133"/>
      <c r="D929" s="133"/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GE929" s="133"/>
      <c r="GF929" s="133"/>
      <c r="GG929" s="133"/>
      <c r="GH929" s="133"/>
      <c r="GI929" s="133"/>
      <c r="GJ929" s="133"/>
      <c r="GK929" s="133"/>
      <c r="GL929" s="133"/>
      <c r="GM929" s="133"/>
      <c r="GN929" s="133"/>
      <c r="GO929" s="133"/>
      <c r="GP929" s="133"/>
      <c r="GQ929" s="133"/>
      <c r="GR929" s="133"/>
      <c r="GS929" s="133"/>
      <c r="GT929" s="133"/>
      <c r="GU929" s="133"/>
      <c r="GV929" s="133"/>
      <c r="GW929" s="133"/>
      <c r="GX929" s="133"/>
      <c r="GY929" s="133"/>
      <c r="GZ929" s="133"/>
      <c r="HA929" s="133"/>
      <c r="HB929" s="133"/>
      <c r="HC929" s="133"/>
      <c r="HD929" s="133"/>
      <c r="HE929" s="133"/>
      <c r="HF929" s="133"/>
      <c r="HG929" s="133"/>
      <c r="HH929" s="133"/>
      <c r="HI929" s="133"/>
      <c r="HJ929" s="133"/>
      <c r="HK929" s="133"/>
      <c r="HL929" s="133"/>
      <c r="HM929" s="133"/>
      <c r="HN929" s="133"/>
      <c r="HO929" s="133"/>
      <c r="HP929" s="133"/>
      <c r="HQ929" s="133"/>
      <c r="HR929" s="133"/>
      <c r="HS929" s="133"/>
      <c r="HT929" s="133"/>
      <c r="HU929" s="133"/>
      <c r="HV929" s="133"/>
      <c r="HW929" s="133"/>
      <c r="HX929" s="133"/>
      <c r="HY929" s="133"/>
      <c r="HZ929" s="133"/>
      <c r="IA929" s="133"/>
      <c r="IB929" s="133"/>
      <c r="IC929" s="133"/>
      <c r="ID929" s="133"/>
      <c r="IE929" s="133"/>
      <c r="IF929" s="133"/>
      <c r="IG929" s="133"/>
      <c r="IH929" s="133"/>
      <c r="II929" s="133"/>
      <c r="IJ929" s="133"/>
      <c r="IK929" s="133"/>
      <c r="IL929" s="133"/>
      <c r="IM929" s="133"/>
      <c r="IN929" s="133"/>
      <c r="IO929" s="133"/>
      <c r="IP929" s="133"/>
      <c r="IQ929" s="133"/>
      <c r="IR929" s="133"/>
      <c r="IS929" s="133"/>
      <c r="IT929" s="133"/>
      <c r="IU929" s="133"/>
      <c r="IV929" s="133"/>
    </row>
    <row r="930" spans="1:256" s="132" customFormat="1" ht="13.8">
      <c r="A930" s="133"/>
      <c r="B930" s="133"/>
      <c r="C930" s="133"/>
      <c r="D930" s="133"/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GE930" s="133"/>
      <c r="GF930" s="133"/>
      <c r="GG930" s="133"/>
      <c r="GH930" s="133"/>
      <c r="GI930" s="133"/>
      <c r="GJ930" s="133"/>
      <c r="GK930" s="133"/>
      <c r="GL930" s="133"/>
      <c r="GM930" s="133"/>
      <c r="GN930" s="133"/>
      <c r="GO930" s="133"/>
      <c r="GP930" s="133"/>
      <c r="GQ930" s="133"/>
      <c r="GR930" s="133"/>
      <c r="GS930" s="133"/>
      <c r="GT930" s="133"/>
      <c r="GU930" s="133"/>
      <c r="GV930" s="133"/>
      <c r="GW930" s="133"/>
      <c r="GX930" s="133"/>
      <c r="GY930" s="133"/>
      <c r="GZ930" s="133"/>
      <c r="HA930" s="133"/>
      <c r="HB930" s="133"/>
      <c r="HC930" s="133"/>
      <c r="HD930" s="133"/>
      <c r="HE930" s="133"/>
      <c r="HF930" s="133"/>
      <c r="HG930" s="133"/>
      <c r="HH930" s="133"/>
      <c r="HI930" s="133"/>
      <c r="HJ930" s="133"/>
      <c r="HK930" s="133"/>
      <c r="HL930" s="133"/>
      <c r="HM930" s="133"/>
      <c r="HN930" s="133"/>
      <c r="HO930" s="133"/>
      <c r="HP930" s="133"/>
      <c r="HQ930" s="133"/>
      <c r="HR930" s="133"/>
      <c r="HS930" s="133"/>
      <c r="HT930" s="133"/>
      <c r="HU930" s="133"/>
      <c r="HV930" s="133"/>
      <c r="HW930" s="133"/>
      <c r="HX930" s="133"/>
      <c r="HY930" s="133"/>
      <c r="HZ930" s="133"/>
      <c r="IA930" s="133"/>
      <c r="IB930" s="133"/>
      <c r="IC930" s="133"/>
      <c r="ID930" s="133"/>
      <c r="IE930" s="133"/>
      <c r="IF930" s="133"/>
      <c r="IG930" s="133"/>
      <c r="IH930" s="133"/>
      <c r="II930" s="133"/>
      <c r="IJ930" s="133"/>
      <c r="IK930" s="133"/>
      <c r="IL930" s="133"/>
      <c r="IM930" s="133"/>
      <c r="IN930" s="133"/>
      <c r="IO930" s="133"/>
      <c r="IP930" s="133"/>
      <c r="IQ930" s="133"/>
      <c r="IR930" s="133"/>
      <c r="IS930" s="133"/>
      <c r="IT930" s="133"/>
      <c r="IU930" s="133"/>
      <c r="IV930" s="133"/>
    </row>
    <row r="931" spans="1:256" s="132" customFormat="1" ht="13.8">
      <c r="A931" s="133"/>
      <c r="B931" s="133"/>
      <c r="C931" s="133"/>
      <c r="D931" s="133"/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GE931" s="133"/>
      <c r="GF931" s="133"/>
      <c r="GG931" s="133"/>
      <c r="GH931" s="133"/>
      <c r="GI931" s="133"/>
      <c r="GJ931" s="133"/>
      <c r="GK931" s="133"/>
      <c r="GL931" s="133"/>
      <c r="GM931" s="133"/>
      <c r="GN931" s="133"/>
      <c r="GO931" s="133"/>
      <c r="GP931" s="133"/>
      <c r="GQ931" s="133"/>
      <c r="GR931" s="133"/>
      <c r="GS931" s="133"/>
      <c r="GT931" s="133"/>
      <c r="GU931" s="133"/>
      <c r="GV931" s="133"/>
      <c r="GW931" s="133"/>
      <c r="GX931" s="133"/>
      <c r="GY931" s="133"/>
      <c r="GZ931" s="133"/>
      <c r="HA931" s="133"/>
      <c r="HB931" s="133"/>
      <c r="HC931" s="133"/>
      <c r="HD931" s="133"/>
      <c r="HE931" s="133"/>
      <c r="HF931" s="133"/>
      <c r="HG931" s="133"/>
      <c r="HH931" s="133"/>
      <c r="HI931" s="133"/>
      <c r="HJ931" s="133"/>
      <c r="HK931" s="133"/>
      <c r="HL931" s="133"/>
      <c r="HM931" s="133"/>
      <c r="HN931" s="133"/>
      <c r="HO931" s="133"/>
      <c r="HP931" s="133"/>
      <c r="HQ931" s="133"/>
      <c r="HR931" s="133"/>
      <c r="HS931" s="133"/>
      <c r="HT931" s="133"/>
      <c r="HU931" s="133"/>
      <c r="HV931" s="133"/>
      <c r="HW931" s="133"/>
      <c r="HX931" s="133"/>
      <c r="HY931" s="133"/>
      <c r="HZ931" s="133"/>
      <c r="IA931" s="133"/>
      <c r="IB931" s="133"/>
      <c r="IC931" s="133"/>
      <c r="ID931" s="133"/>
      <c r="IE931" s="133"/>
      <c r="IF931" s="133"/>
      <c r="IG931" s="133"/>
      <c r="IH931" s="133"/>
      <c r="II931" s="133"/>
      <c r="IJ931" s="133"/>
      <c r="IK931" s="133"/>
      <c r="IL931" s="133"/>
      <c r="IM931" s="133"/>
      <c r="IN931" s="133"/>
      <c r="IO931" s="133"/>
      <c r="IP931" s="133"/>
      <c r="IQ931" s="133"/>
      <c r="IR931" s="133"/>
      <c r="IS931" s="133"/>
      <c r="IT931" s="133"/>
      <c r="IU931" s="133"/>
      <c r="IV931" s="133"/>
    </row>
    <row r="932" spans="1:256" s="132" customFormat="1" ht="13.8">
      <c r="A932" s="133"/>
      <c r="B932" s="133"/>
      <c r="C932" s="133"/>
      <c r="D932" s="133"/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GE932" s="133"/>
      <c r="GF932" s="133"/>
      <c r="GG932" s="133"/>
      <c r="GH932" s="133"/>
      <c r="GI932" s="133"/>
      <c r="GJ932" s="133"/>
      <c r="GK932" s="133"/>
      <c r="GL932" s="133"/>
      <c r="GM932" s="133"/>
      <c r="GN932" s="133"/>
      <c r="GO932" s="133"/>
      <c r="GP932" s="133"/>
      <c r="GQ932" s="133"/>
      <c r="GR932" s="133"/>
      <c r="GS932" s="133"/>
      <c r="GT932" s="133"/>
      <c r="GU932" s="133"/>
      <c r="GV932" s="133"/>
      <c r="GW932" s="133"/>
      <c r="GX932" s="133"/>
      <c r="GY932" s="133"/>
      <c r="GZ932" s="133"/>
      <c r="HA932" s="133"/>
      <c r="HB932" s="133"/>
      <c r="HC932" s="133"/>
      <c r="HD932" s="133"/>
      <c r="HE932" s="133"/>
      <c r="HF932" s="133"/>
      <c r="HG932" s="133"/>
      <c r="HH932" s="133"/>
      <c r="HI932" s="133"/>
      <c r="HJ932" s="133"/>
      <c r="HK932" s="133"/>
      <c r="HL932" s="133"/>
      <c r="HM932" s="133"/>
      <c r="HN932" s="133"/>
      <c r="HO932" s="133"/>
      <c r="HP932" s="133"/>
      <c r="HQ932" s="133"/>
      <c r="HR932" s="133"/>
      <c r="HS932" s="133"/>
      <c r="HT932" s="133"/>
      <c r="HU932" s="133"/>
      <c r="HV932" s="133"/>
      <c r="HW932" s="133"/>
      <c r="HX932" s="133"/>
      <c r="HY932" s="133"/>
      <c r="HZ932" s="133"/>
      <c r="IA932" s="133"/>
      <c r="IB932" s="133"/>
      <c r="IC932" s="133"/>
      <c r="ID932" s="133"/>
      <c r="IE932" s="133"/>
      <c r="IF932" s="133"/>
      <c r="IG932" s="133"/>
      <c r="IH932" s="133"/>
      <c r="II932" s="133"/>
      <c r="IJ932" s="133"/>
      <c r="IK932" s="133"/>
      <c r="IL932" s="133"/>
      <c r="IM932" s="133"/>
      <c r="IN932" s="133"/>
      <c r="IO932" s="133"/>
      <c r="IP932" s="133"/>
      <c r="IQ932" s="133"/>
      <c r="IR932" s="133"/>
      <c r="IS932" s="133"/>
      <c r="IT932" s="133"/>
      <c r="IU932" s="133"/>
      <c r="IV932" s="133"/>
    </row>
    <row r="933" spans="1:256" s="132" customFormat="1" ht="13.8">
      <c r="A933" s="133"/>
      <c r="B933" s="133"/>
      <c r="C933" s="133"/>
      <c r="D933" s="133"/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GE933" s="133"/>
      <c r="GF933" s="133"/>
      <c r="GG933" s="133"/>
      <c r="GH933" s="133"/>
      <c r="GI933" s="133"/>
      <c r="GJ933" s="133"/>
      <c r="GK933" s="133"/>
      <c r="GL933" s="133"/>
      <c r="GM933" s="133"/>
      <c r="GN933" s="133"/>
      <c r="GO933" s="133"/>
      <c r="GP933" s="133"/>
      <c r="GQ933" s="133"/>
      <c r="GR933" s="133"/>
      <c r="GS933" s="133"/>
      <c r="GT933" s="133"/>
      <c r="GU933" s="133"/>
      <c r="GV933" s="133"/>
      <c r="GW933" s="133"/>
      <c r="GX933" s="133"/>
      <c r="GY933" s="133"/>
      <c r="GZ933" s="133"/>
      <c r="HA933" s="133"/>
      <c r="HB933" s="133"/>
      <c r="HC933" s="133"/>
      <c r="HD933" s="133"/>
      <c r="HE933" s="133"/>
      <c r="HF933" s="133"/>
      <c r="HG933" s="133"/>
      <c r="HH933" s="133"/>
      <c r="HI933" s="133"/>
      <c r="HJ933" s="133"/>
      <c r="HK933" s="133"/>
      <c r="HL933" s="133"/>
      <c r="HM933" s="133"/>
      <c r="HN933" s="133"/>
      <c r="HO933" s="133"/>
      <c r="HP933" s="133"/>
      <c r="HQ933" s="133"/>
      <c r="HR933" s="133"/>
      <c r="HS933" s="133"/>
      <c r="HT933" s="133"/>
      <c r="HU933" s="133"/>
      <c r="HV933" s="133"/>
      <c r="HW933" s="133"/>
      <c r="HX933" s="133"/>
      <c r="HY933" s="133"/>
      <c r="HZ933" s="133"/>
      <c r="IA933" s="133"/>
      <c r="IB933" s="133"/>
      <c r="IC933" s="133"/>
      <c r="ID933" s="133"/>
      <c r="IE933" s="133"/>
      <c r="IF933" s="133"/>
      <c r="IG933" s="133"/>
      <c r="IH933" s="133"/>
      <c r="II933" s="133"/>
      <c r="IJ933" s="133"/>
      <c r="IK933" s="133"/>
      <c r="IL933" s="133"/>
      <c r="IM933" s="133"/>
      <c r="IN933" s="133"/>
      <c r="IO933" s="133"/>
      <c r="IP933" s="133"/>
      <c r="IQ933" s="133"/>
      <c r="IR933" s="133"/>
      <c r="IS933" s="133"/>
      <c r="IT933" s="133"/>
      <c r="IU933" s="133"/>
      <c r="IV933" s="133"/>
    </row>
    <row r="934" spans="1:256" s="132" customFormat="1" ht="13.8">
      <c r="A934" s="133"/>
      <c r="B934" s="133"/>
      <c r="C934" s="133"/>
      <c r="D934" s="133"/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GE934" s="133"/>
      <c r="GF934" s="133"/>
      <c r="GG934" s="133"/>
      <c r="GH934" s="133"/>
      <c r="GI934" s="133"/>
      <c r="GJ934" s="133"/>
      <c r="GK934" s="133"/>
      <c r="GL934" s="133"/>
      <c r="GM934" s="133"/>
      <c r="GN934" s="133"/>
      <c r="GO934" s="133"/>
      <c r="GP934" s="133"/>
      <c r="GQ934" s="133"/>
      <c r="GR934" s="133"/>
      <c r="GS934" s="133"/>
      <c r="GT934" s="133"/>
      <c r="GU934" s="133"/>
      <c r="GV934" s="133"/>
      <c r="GW934" s="133"/>
      <c r="GX934" s="133"/>
      <c r="GY934" s="133"/>
      <c r="GZ934" s="133"/>
      <c r="HA934" s="133"/>
      <c r="HB934" s="133"/>
      <c r="HC934" s="133"/>
      <c r="HD934" s="133"/>
      <c r="HE934" s="133"/>
      <c r="HF934" s="133"/>
      <c r="HG934" s="133"/>
      <c r="HH934" s="133"/>
      <c r="HI934" s="133"/>
      <c r="HJ934" s="133"/>
      <c r="HK934" s="133"/>
      <c r="HL934" s="133"/>
      <c r="HM934" s="133"/>
      <c r="HN934" s="133"/>
      <c r="HO934" s="133"/>
      <c r="HP934" s="133"/>
      <c r="HQ934" s="133"/>
      <c r="HR934" s="133"/>
      <c r="HS934" s="133"/>
      <c r="HT934" s="133"/>
      <c r="HU934" s="133"/>
      <c r="HV934" s="133"/>
      <c r="HW934" s="133"/>
      <c r="HX934" s="133"/>
      <c r="HY934" s="133"/>
      <c r="HZ934" s="133"/>
      <c r="IA934" s="133"/>
      <c r="IB934" s="133"/>
      <c r="IC934" s="133"/>
      <c r="ID934" s="133"/>
      <c r="IE934" s="133"/>
      <c r="IF934" s="133"/>
      <c r="IG934" s="133"/>
      <c r="IH934" s="133"/>
      <c r="II934" s="133"/>
      <c r="IJ934" s="133"/>
      <c r="IK934" s="133"/>
      <c r="IL934" s="133"/>
      <c r="IM934" s="133"/>
      <c r="IN934" s="133"/>
      <c r="IO934" s="133"/>
      <c r="IP934" s="133"/>
      <c r="IQ934" s="133"/>
      <c r="IR934" s="133"/>
      <c r="IS934" s="133"/>
      <c r="IT934" s="133"/>
      <c r="IU934" s="133"/>
      <c r="IV934" s="133"/>
    </row>
    <row r="935" spans="1:256" s="132" customFormat="1" ht="13.8">
      <c r="A935" s="133"/>
      <c r="B935" s="133"/>
      <c r="C935" s="133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GE935" s="133"/>
      <c r="GF935" s="133"/>
      <c r="GG935" s="133"/>
      <c r="GH935" s="133"/>
      <c r="GI935" s="133"/>
      <c r="GJ935" s="133"/>
      <c r="GK935" s="133"/>
      <c r="GL935" s="133"/>
      <c r="GM935" s="133"/>
      <c r="GN935" s="133"/>
      <c r="GO935" s="133"/>
      <c r="GP935" s="133"/>
      <c r="GQ935" s="133"/>
      <c r="GR935" s="133"/>
      <c r="GS935" s="133"/>
      <c r="GT935" s="133"/>
      <c r="GU935" s="133"/>
      <c r="GV935" s="133"/>
      <c r="GW935" s="133"/>
      <c r="GX935" s="133"/>
      <c r="GY935" s="133"/>
      <c r="GZ935" s="133"/>
      <c r="HA935" s="133"/>
      <c r="HB935" s="133"/>
      <c r="HC935" s="133"/>
      <c r="HD935" s="133"/>
      <c r="HE935" s="133"/>
      <c r="HF935" s="133"/>
      <c r="HG935" s="133"/>
      <c r="HH935" s="133"/>
      <c r="HI935" s="133"/>
      <c r="HJ935" s="133"/>
      <c r="HK935" s="133"/>
      <c r="HL935" s="133"/>
      <c r="HM935" s="133"/>
      <c r="HN935" s="133"/>
      <c r="HO935" s="133"/>
      <c r="HP935" s="133"/>
      <c r="HQ935" s="133"/>
      <c r="HR935" s="133"/>
      <c r="HS935" s="133"/>
      <c r="HT935" s="133"/>
      <c r="HU935" s="133"/>
      <c r="HV935" s="133"/>
      <c r="HW935" s="133"/>
      <c r="HX935" s="133"/>
      <c r="HY935" s="133"/>
      <c r="HZ935" s="133"/>
      <c r="IA935" s="133"/>
      <c r="IB935" s="133"/>
      <c r="IC935" s="133"/>
      <c r="ID935" s="133"/>
      <c r="IE935" s="133"/>
      <c r="IF935" s="133"/>
      <c r="IG935" s="133"/>
      <c r="IH935" s="133"/>
      <c r="II935" s="133"/>
      <c r="IJ935" s="133"/>
      <c r="IK935" s="133"/>
      <c r="IL935" s="133"/>
      <c r="IM935" s="133"/>
      <c r="IN935" s="133"/>
      <c r="IO935" s="133"/>
      <c r="IP935" s="133"/>
      <c r="IQ935" s="133"/>
      <c r="IR935" s="133"/>
      <c r="IS935" s="133"/>
      <c r="IT935" s="133"/>
      <c r="IU935" s="133"/>
      <c r="IV935" s="133"/>
    </row>
    <row r="936" spans="1:256" s="132" customFormat="1" ht="13.8">
      <c r="A936" s="133"/>
      <c r="B936" s="133"/>
      <c r="C936" s="133"/>
      <c r="D936" s="133"/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GE936" s="133"/>
      <c r="GF936" s="133"/>
      <c r="GG936" s="133"/>
      <c r="GH936" s="133"/>
      <c r="GI936" s="133"/>
      <c r="GJ936" s="133"/>
      <c r="GK936" s="133"/>
      <c r="GL936" s="133"/>
      <c r="GM936" s="133"/>
      <c r="GN936" s="133"/>
      <c r="GO936" s="133"/>
      <c r="GP936" s="133"/>
      <c r="GQ936" s="133"/>
      <c r="GR936" s="133"/>
      <c r="GS936" s="133"/>
      <c r="GT936" s="133"/>
      <c r="GU936" s="133"/>
      <c r="GV936" s="133"/>
      <c r="GW936" s="133"/>
      <c r="GX936" s="133"/>
      <c r="GY936" s="133"/>
      <c r="GZ936" s="133"/>
      <c r="HA936" s="133"/>
      <c r="HB936" s="133"/>
      <c r="HC936" s="133"/>
      <c r="HD936" s="133"/>
      <c r="HE936" s="133"/>
      <c r="HF936" s="133"/>
      <c r="HG936" s="133"/>
      <c r="HH936" s="133"/>
      <c r="HI936" s="133"/>
      <c r="HJ936" s="133"/>
      <c r="HK936" s="133"/>
      <c r="HL936" s="133"/>
      <c r="HM936" s="133"/>
      <c r="HN936" s="133"/>
      <c r="HO936" s="133"/>
      <c r="HP936" s="133"/>
      <c r="HQ936" s="133"/>
      <c r="HR936" s="133"/>
      <c r="HS936" s="133"/>
      <c r="HT936" s="133"/>
      <c r="HU936" s="133"/>
      <c r="HV936" s="133"/>
      <c r="HW936" s="133"/>
      <c r="HX936" s="133"/>
      <c r="HY936" s="133"/>
      <c r="HZ936" s="133"/>
      <c r="IA936" s="133"/>
      <c r="IB936" s="133"/>
      <c r="IC936" s="133"/>
      <c r="ID936" s="133"/>
      <c r="IE936" s="133"/>
      <c r="IF936" s="133"/>
      <c r="IG936" s="133"/>
      <c r="IH936" s="133"/>
      <c r="II936" s="133"/>
      <c r="IJ936" s="133"/>
      <c r="IK936" s="133"/>
      <c r="IL936" s="133"/>
      <c r="IM936" s="133"/>
      <c r="IN936" s="133"/>
      <c r="IO936" s="133"/>
      <c r="IP936" s="133"/>
      <c r="IQ936" s="133"/>
      <c r="IR936" s="133"/>
      <c r="IS936" s="133"/>
      <c r="IT936" s="133"/>
      <c r="IU936" s="133"/>
      <c r="IV936" s="133"/>
    </row>
    <row r="937" spans="1:256" s="132" customFormat="1" ht="13.8">
      <c r="A937" s="133"/>
      <c r="B937" s="133"/>
      <c r="C937" s="133"/>
      <c r="D937" s="133"/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GE937" s="133"/>
      <c r="GF937" s="133"/>
      <c r="GG937" s="133"/>
      <c r="GH937" s="133"/>
      <c r="GI937" s="133"/>
      <c r="GJ937" s="133"/>
      <c r="GK937" s="133"/>
      <c r="GL937" s="133"/>
      <c r="GM937" s="133"/>
      <c r="GN937" s="133"/>
      <c r="GO937" s="133"/>
      <c r="GP937" s="133"/>
      <c r="GQ937" s="133"/>
      <c r="GR937" s="133"/>
      <c r="GS937" s="133"/>
      <c r="GT937" s="133"/>
      <c r="GU937" s="133"/>
      <c r="GV937" s="133"/>
      <c r="GW937" s="133"/>
      <c r="GX937" s="133"/>
      <c r="GY937" s="133"/>
      <c r="GZ937" s="133"/>
      <c r="HA937" s="133"/>
      <c r="HB937" s="133"/>
      <c r="HC937" s="133"/>
      <c r="HD937" s="133"/>
      <c r="HE937" s="133"/>
      <c r="HF937" s="133"/>
      <c r="HG937" s="133"/>
      <c r="HH937" s="133"/>
      <c r="HI937" s="133"/>
      <c r="HJ937" s="133"/>
      <c r="HK937" s="133"/>
      <c r="HL937" s="133"/>
      <c r="HM937" s="133"/>
      <c r="HN937" s="133"/>
      <c r="HO937" s="133"/>
      <c r="HP937" s="133"/>
      <c r="HQ937" s="133"/>
      <c r="HR937" s="133"/>
      <c r="HS937" s="133"/>
      <c r="HT937" s="133"/>
      <c r="HU937" s="133"/>
      <c r="HV937" s="133"/>
      <c r="HW937" s="133"/>
      <c r="HX937" s="133"/>
      <c r="HY937" s="133"/>
      <c r="HZ937" s="133"/>
      <c r="IA937" s="133"/>
      <c r="IB937" s="133"/>
      <c r="IC937" s="133"/>
      <c r="ID937" s="133"/>
      <c r="IE937" s="133"/>
      <c r="IF937" s="133"/>
      <c r="IG937" s="133"/>
      <c r="IH937" s="133"/>
      <c r="II937" s="133"/>
      <c r="IJ937" s="133"/>
      <c r="IK937" s="133"/>
      <c r="IL937" s="133"/>
      <c r="IM937" s="133"/>
      <c r="IN937" s="133"/>
      <c r="IO937" s="133"/>
      <c r="IP937" s="133"/>
      <c r="IQ937" s="133"/>
      <c r="IR937" s="133"/>
      <c r="IS937" s="133"/>
      <c r="IT937" s="133"/>
      <c r="IU937" s="133"/>
      <c r="IV937" s="133"/>
    </row>
    <row r="938" spans="1:256" s="132" customFormat="1" ht="13.8">
      <c r="A938" s="133"/>
      <c r="B938" s="133"/>
      <c r="C938" s="133"/>
      <c r="D938" s="133"/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GE938" s="133"/>
      <c r="GF938" s="133"/>
      <c r="GG938" s="133"/>
      <c r="GH938" s="133"/>
      <c r="GI938" s="133"/>
      <c r="GJ938" s="133"/>
      <c r="GK938" s="133"/>
      <c r="GL938" s="133"/>
      <c r="GM938" s="133"/>
      <c r="GN938" s="133"/>
      <c r="GO938" s="133"/>
      <c r="GP938" s="133"/>
      <c r="GQ938" s="133"/>
      <c r="GR938" s="133"/>
      <c r="GS938" s="133"/>
      <c r="GT938" s="133"/>
      <c r="GU938" s="133"/>
      <c r="GV938" s="133"/>
      <c r="GW938" s="133"/>
      <c r="GX938" s="133"/>
      <c r="GY938" s="133"/>
      <c r="GZ938" s="133"/>
      <c r="HA938" s="133"/>
      <c r="HB938" s="133"/>
      <c r="HC938" s="133"/>
      <c r="HD938" s="133"/>
      <c r="HE938" s="133"/>
      <c r="HF938" s="133"/>
      <c r="HG938" s="133"/>
      <c r="HH938" s="133"/>
      <c r="HI938" s="133"/>
      <c r="HJ938" s="133"/>
      <c r="HK938" s="133"/>
      <c r="HL938" s="133"/>
      <c r="HM938" s="133"/>
      <c r="HN938" s="133"/>
      <c r="HO938" s="133"/>
      <c r="HP938" s="133"/>
      <c r="HQ938" s="133"/>
      <c r="HR938" s="133"/>
      <c r="HS938" s="133"/>
      <c r="HT938" s="133"/>
      <c r="HU938" s="133"/>
      <c r="HV938" s="133"/>
      <c r="HW938" s="133"/>
      <c r="HX938" s="133"/>
      <c r="HY938" s="133"/>
      <c r="HZ938" s="133"/>
      <c r="IA938" s="133"/>
      <c r="IB938" s="133"/>
      <c r="IC938" s="133"/>
      <c r="ID938" s="133"/>
      <c r="IE938" s="133"/>
      <c r="IF938" s="133"/>
      <c r="IG938" s="133"/>
      <c r="IH938" s="133"/>
      <c r="II938" s="133"/>
      <c r="IJ938" s="133"/>
      <c r="IK938" s="133"/>
      <c r="IL938" s="133"/>
      <c r="IM938" s="133"/>
      <c r="IN938" s="133"/>
      <c r="IO938" s="133"/>
      <c r="IP938" s="133"/>
      <c r="IQ938" s="133"/>
      <c r="IR938" s="133"/>
      <c r="IS938" s="133"/>
      <c r="IT938" s="133"/>
      <c r="IU938" s="133"/>
      <c r="IV938" s="133"/>
    </row>
    <row r="939" spans="1:256" s="132" customFormat="1" ht="13.8">
      <c r="A939" s="133"/>
      <c r="B939" s="133"/>
      <c r="C939" s="133"/>
      <c r="D939" s="133"/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GE939" s="133"/>
      <c r="GF939" s="133"/>
      <c r="GG939" s="133"/>
      <c r="GH939" s="133"/>
      <c r="GI939" s="133"/>
      <c r="GJ939" s="133"/>
      <c r="GK939" s="133"/>
      <c r="GL939" s="133"/>
      <c r="GM939" s="133"/>
      <c r="GN939" s="133"/>
      <c r="GO939" s="133"/>
      <c r="GP939" s="133"/>
      <c r="GQ939" s="133"/>
      <c r="GR939" s="133"/>
      <c r="GS939" s="133"/>
      <c r="GT939" s="133"/>
      <c r="GU939" s="133"/>
      <c r="GV939" s="133"/>
      <c r="GW939" s="133"/>
      <c r="GX939" s="133"/>
      <c r="GY939" s="133"/>
      <c r="GZ939" s="133"/>
      <c r="HA939" s="133"/>
      <c r="HB939" s="133"/>
      <c r="HC939" s="133"/>
      <c r="HD939" s="133"/>
      <c r="HE939" s="133"/>
      <c r="HF939" s="133"/>
      <c r="HG939" s="133"/>
      <c r="HH939" s="133"/>
      <c r="HI939" s="133"/>
      <c r="HJ939" s="133"/>
      <c r="HK939" s="133"/>
      <c r="HL939" s="133"/>
      <c r="HM939" s="133"/>
      <c r="HN939" s="133"/>
      <c r="HO939" s="133"/>
      <c r="HP939" s="133"/>
      <c r="HQ939" s="133"/>
      <c r="HR939" s="133"/>
      <c r="HS939" s="133"/>
      <c r="HT939" s="133"/>
      <c r="HU939" s="133"/>
      <c r="HV939" s="133"/>
      <c r="HW939" s="133"/>
      <c r="HX939" s="133"/>
      <c r="HY939" s="133"/>
      <c r="HZ939" s="133"/>
      <c r="IA939" s="133"/>
      <c r="IB939" s="133"/>
      <c r="IC939" s="133"/>
      <c r="ID939" s="133"/>
      <c r="IE939" s="133"/>
      <c r="IF939" s="133"/>
      <c r="IG939" s="133"/>
      <c r="IH939" s="133"/>
      <c r="II939" s="133"/>
      <c r="IJ939" s="133"/>
      <c r="IK939" s="133"/>
      <c r="IL939" s="133"/>
      <c r="IM939" s="133"/>
      <c r="IN939" s="133"/>
      <c r="IO939" s="133"/>
      <c r="IP939" s="133"/>
      <c r="IQ939" s="133"/>
      <c r="IR939" s="133"/>
      <c r="IS939" s="133"/>
      <c r="IT939" s="133"/>
      <c r="IU939" s="133"/>
      <c r="IV939" s="133"/>
    </row>
    <row r="940" spans="1:256" s="132" customFormat="1" ht="13.8">
      <c r="A940" s="133"/>
      <c r="B940" s="133"/>
      <c r="C940" s="133"/>
      <c r="D940" s="133"/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GE940" s="133"/>
      <c r="GF940" s="133"/>
      <c r="GG940" s="133"/>
      <c r="GH940" s="133"/>
      <c r="GI940" s="133"/>
      <c r="GJ940" s="133"/>
      <c r="GK940" s="133"/>
      <c r="GL940" s="133"/>
      <c r="GM940" s="133"/>
      <c r="GN940" s="133"/>
      <c r="GO940" s="133"/>
      <c r="GP940" s="133"/>
      <c r="GQ940" s="133"/>
      <c r="GR940" s="133"/>
      <c r="GS940" s="133"/>
      <c r="GT940" s="133"/>
      <c r="GU940" s="133"/>
      <c r="GV940" s="133"/>
      <c r="GW940" s="133"/>
      <c r="GX940" s="133"/>
      <c r="GY940" s="133"/>
      <c r="GZ940" s="133"/>
      <c r="HA940" s="133"/>
      <c r="HB940" s="133"/>
      <c r="HC940" s="133"/>
      <c r="HD940" s="133"/>
      <c r="HE940" s="133"/>
      <c r="HF940" s="133"/>
      <c r="HG940" s="133"/>
      <c r="HH940" s="133"/>
      <c r="HI940" s="133"/>
      <c r="HJ940" s="133"/>
      <c r="HK940" s="133"/>
      <c r="HL940" s="133"/>
      <c r="HM940" s="133"/>
      <c r="HN940" s="133"/>
      <c r="HO940" s="133"/>
      <c r="HP940" s="133"/>
      <c r="HQ940" s="133"/>
      <c r="HR940" s="133"/>
      <c r="HS940" s="133"/>
      <c r="HT940" s="133"/>
      <c r="HU940" s="133"/>
      <c r="HV940" s="133"/>
      <c r="HW940" s="133"/>
      <c r="HX940" s="133"/>
      <c r="HY940" s="133"/>
      <c r="HZ940" s="133"/>
      <c r="IA940" s="133"/>
      <c r="IB940" s="133"/>
      <c r="IC940" s="133"/>
      <c r="ID940" s="133"/>
      <c r="IE940" s="133"/>
      <c r="IF940" s="133"/>
      <c r="IG940" s="133"/>
      <c r="IH940" s="133"/>
      <c r="II940" s="133"/>
      <c r="IJ940" s="133"/>
      <c r="IK940" s="133"/>
      <c r="IL940" s="133"/>
      <c r="IM940" s="133"/>
      <c r="IN940" s="133"/>
      <c r="IO940" s="133"/>
      <c r="IP940" s="133"/>
      <c r="IQ940" s="133"/>
      <c r="IR940" s="133"/>
      <c r="IS940" s="133"/>
      <c r="IT940" s="133"/>
      <c r="IU940" s="133"/>
      <c r="IV940" s="133"/>
    </row>
    <row r="941" spans="1:256" s="132" customFormat="1" ht="13.8">
      <c r="A941" s="133"/>
      <c r="B941" s="133"/>
      <c r="C941" s="133"/>
      <c r="D941" s="133"/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GE941" s="133"/>
      <c r="GF941" s="133"/>
      <c r="GG941" s="133"/>
      <c r="GH941" s="133"/>
      <c r="GI941" s="133"/>
      <c r="GJ941" s="133"/>
      <c r="GK941" s="133"/>
      <c r="GL941" s="133"/>
      <c r="GM941" s="133"/>
      <c r="GN941" s="133"/>
      <c r="GO941" s="133"/>
      <c r="GP941" s="133"/>
      <c r="GQ941" s="133"/>
      <c r="GR941" s="133"/>
      <c r="GS941" s="133"/>
      <c r="GT941" s="133"/>
      <c r="GU941" s="133"/>
      <c r="GV941" s="133"/>
      <c r="GW941" s="133"/>
      <c r="GX941" s="133"/>
      <c r="GY941" s="133"/>
      <c r="GZ941" s="133"/>
      <c r="HA941" s="133"/>
      <c r="HB941" s="133"/>
      <c r="HC941" s="133"/>
      <c r="HD941" s="133"/>
      <c r="HE941" s="133"/>
      <c r="HF941" s="133"/>
      <c r="HG941" s="133"/>
      <c r="HH941" s="133"/>
      <c r="HI941" s="133"/>
      <c r="HJ941" s="133"/>
      <c r="HK941" s="133"/>
      <c r="HL941" s="133"/>
      <c r="HM941" s="133"/>
      <c r="HN941" s="133"/>
      <c r="HO941" s="133"/>
      <c r="HP941" s="133"/>
      <c r="HQ941" s="133"/>
      <c r="HR941" s="133"/>
      <c r="HS941" s="133"/>
      <c r="HT941" s="133"/>
      <c r="HU941" s="133"/>
      <c r="HV941" s="133"/>
      <c r="HW941" s="133"/>
      <c r="HX941" s="133"/>
      <c r="HY941" s="133"/>
      <c r="HZ941" s="133"/>
      <c r="IA941" s="133"/>
      <c r="IB941" s="133"/>
      <c r="IC941" s="133"/>
      <c r="ID941" s="133"/>
      <c r="IE941" s="133"/>
      <c r="IF941" s="133"/>
      <c r="IG941" s="133"/>
      <c r="IH941" s="133"/>
      <c r="II941" s="133"/>
      <c r="IJ941" s="133"/>
      <c r="IK941" s="133"/>
      <c r="IL941" s="133"/>
      <c r="IM941" s="133"/>
      <c r="IN941" s="133"/>
      <c r="IO941" s="133"/>
      <c r="IP941" s="133"/>
      <c r="IQ941" s="133"/>
      <c r="IR941" s="133"/>
      <c r="IS941" s="133"/>
      <c r="IT941" s="133"/>
      <c r="IU941" s="133"/>
      <c r="IV941" s="133"/>
    </row>
    <row r="942" spans="1:256" s="132" customFormat="1" ht="13.8">
      <c r="A942" s="133"/>
      <c r="B942" s="133"/>
      <c r="C942" s="133"/>
      <c r="D942" s="133"/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GE942" s="133"/>
      <c r="GF942" s="133"/>
      <c r="GG942" s="133"/>
      <c r="GH942" s="133"/>
      <c r="GI942" s="133"/>
      <c r="GJ942" s="133"/>
      <c r="GK942" s="133"/>
      <c r="GL942" s="133"/>
      <c r="GM942" s="133"/>
      <c r="GN942" s="133"/>
      <c r="GO942" s="133"/>
      <c r="GP942" s="133"/>
      <c r="GQ942" s="133"/>
      <c r="GR942" s="133"/>
      <c r="GS942" s="133"/>
      <c r="GT942" s="133"/>
      <c r="GU942" s="133"/>
      <c r="GV942" s="133"/>
      <c r="GW942" s="133"/>
      <c r="GX942" s="133"/>
      <c r="GY942" s="133"/>
      <c r="GZ942" s="133"/>
      <c r="HA942" s="133"/>
      <c r="HB942" s="133"/>
      <c r="HC942" s="133"/>
      <c r="HD942" s="133"/>
      <c r="HE942" s="133"/>
      <c r="HF942" s="133"/>
      <c r="HG942" s="133"/>
      <c r="HH942" s="133"/>
      <c r="HI942" s="133"/>
      <c r="HJ942" s="133"/>
      <c r="HK942" s="133"/>
      <c r="HL942" s="133"/>
      <c r="HM942" s="133"/>
      <c r="HN942" s="133"/>
      <c r="HO942" s="133"/>
      <c r="HP942" s="133"/>
      <c r="HQ942" s="133"/>
      <c r="HR942" s="133"/>
      <c r="HS942" s="133"/>
      <c r="HT942" s="133"/>
      <c r="HU942" s="133"/>
      <c r="HV942" s="133"/>
      <c r="HW942" s="133"/>
      <c r="HX942" s="133"/>
      <c r="HY942" s="133"/>
      <c r="HZ942" s="133"/>
      <c r="IA942" s="133"/>
      <c r="IB942" s="133"/>
      <c r="IC942" s="133"/>
      <c r="ID942" s="133"/>
      <c r="IE942" s="133"/>
      <c r="IF942" s="133"/>
      <c r="IG942" s="133"/>
      <c r="IH942" s="133"/>
      <c r="II942" s="133"/>
      <c r="IJ942" s="133"/>
      <c r="IK942" s="133"/>
      <c r="IL942" s="133"/>
      <c r="IM942" s="133"/>
      <c r="IN942" s="133"/>
      <c r="IO942" s="133"/>
      <c r="IP942" s="133"/>
      <c r="IQ942" s="133"/>
      <c r="IR942" s="133"/>
      <c r="IS942" s="133"/>
      <c r="IT942" s="133"/>
      <c r="IU942" s="133"/>
      <c r="IV942" s="133"/>
    </row>
    <row r="943" spans="1:256" s="132" customFormat="1" ht="13.8">
      <c r="A943" s="133"/>
      <c r="B943" s="133"/>
      <c r="C943" s="133"/>
      <c r="D943" s="133"/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GE943" s="133"/>
      <c r="GF943" s="133"/>
      <c r="GG943" s="133"/>
      <c r="GH943" s="133"/>
      <c r="GI943" s="133"/>
      <c r="GJ943" s="133"/>
      <c r="GK943" s="133"/>
      <c r="GL943" s="133"/>
      <c r="GM943" s="133"/>
      <c r="GN943" s="133"/>
      <c r="GO943" s="133"/>
      <c r="GP943" s="133"/>
      <c r="GQ943" s="133"/>
      <c r="GR943" s="133"/>
      <c r="GS943" s="133"/>
      <c r="GT943" s="133"/>
      <c r="GU943" s="133"/>
      <c r="GV943" s="133"/>
      <c r="GW943" s="133"/>
      <c r="GX943" s="133"/>
      <c r="GY943" s="133"/>
      <c r="GZ943" s="133"/>
      <c r="HA943" s="133"/>
      <c r="HB943" s="133"/>
      <c r="HC943" s="133"/>
      <c r="HD943" s="133"/>
      <c r="HE943" s="133"/>
      <c r="HF943" s="133"/>
      <c r="HG943" s="133"/>
      <c r="HH943" s="133"/>
      <c r="HI943" s="133"/>
      <c r="HJ943" s="133"/>
      <c r="HK943" s="133"/>
      <c r="HL943" s="133"/>
      <c r="HM943" s="133"/>
      <c r="HN943" s="133"/>
      <c r="HO943" s="133"/>
      <c r="HP943" s="133"/>
      <c r="HQ943" s="133"/>
      <c r="HR943" s="133"/>
      <c r="HS943" s="133"/>
      <c r="HT943" s="133"/>
      <c r="HU943" s="133"/>
      <c r="HV943" s="133"/>
      <c r="HW943" s="133"/>
      <c r="HX943" s="133"/>
      <c r="HY943" s="133"/>
      <c r="HZ943" s="133"/>
      <c r="IA943" s="133"/>
      <c r="IB943" s="133"/>
      <c r="IC943" s="133"/>
      <c r="ID943" s="133"/>
      <c r="IE943" s="133"/>
      <c r="IF943" s="133"/>
      <c r="IG943" s="133"/>
      <c r="IH943" s="133"/>
      <c r="II943" s="133"/>
      <c r="IJ943" s="133"/>
      <c r="IK943" s="133"/>
      <c r="IL943" s="133"/>
      <c r="IM943" s="133"/>
      <c r="IN943" s="133"/>
      <c r="IO943" s="133"/>
      <c r="IP943" s="133"/>
      <c r="IQ943" s="133"/>
      <c r="IR943" s="133"/>
      <c r="IS943" s="133"/>
      <c r="IT943" s="133"/>
      <c r="IU943" s="133"/>
      <c r="IV943" s="133"/>
    </row>
    <row r="944" spans="1:256" s="132" customFormat="1" ht="13.8">
      <c r="A944" s="133"/>
      <c r="B944" s="133"/>
      <c r="C944" s="133"/>
      <c r="D944" s="133"/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GE944" s="133"/>
      <c r="GF944" s="133"/>
      <c r="GG944" s="133"/>
      <c r="GH944" s="133"/>
      <c r="GI944" s="133"/>
      <c r="GJ944" s="133"/>
      <c r="GK944" s="133"/>
      <c r="GL944" s="133"/>
      <c r="GM944" s="133"/>
      <c r="GN944" s="133"/>
      <c r="GO944" s="133"/>
      <c r="GP944" s="133"/>
      <c r="GQ944" s="133"/>
      <c r="GR944" s="133"/>
      <c r="GS944" s="133"/>
      <c r="GT944" s="133"/>
      <c r="GU944" s="133"/>
      <c r="GV944" s="133"/>
      <c r="GW944" s="133"/>
      <c r="GX944" s="133"/>
      <c r="GY944" s="133"/>
      <c r="GZ944" s="133"/>
      <c r="HA944" s="133"/>
      <c r="HB944" s="133"/>
      <c r="HC944" s="133"/>
      <c r="HD944" s="133"/>
      <c r="HE944" s="133"/>
      <c r="HF944" s="133"/>
      <c r="HG944" s="133"/>
      <c r="HH944" s="133"/>
      <c r="HI944" s="133"/>
      <c r="HJ944" s="133"/>
      <c r="HK944" s="133"/>
      <c r="HL944" s="133"/>
      <c r="HM944" s="133"/>
      <c r="HN944" s="133"/>
      <c r="HO944" s="133"/>
      <c r="HP944" s="133"/>
      <c r="HQ944" s="133"/>
      <c r="HR944" s="133"/>
      <c r="HS944" s="133"/>
      <c r="HT944" s="133"/>
      <c r="HU944" s="133"/>
      <c r="HV944" s="133"/>
      <c r="HW944" s="133"/>
      <c r="HX944" s="133"/>
      <c r="HY944" s="133"/>
      <c r="HZ944" s="133"/>
      <c r="IA944" s="133"/>
      <c r="IB944" s="133"/>
      <c r="IC944" s="133"/>
      <c r="ID944" s="133"/>
      <c r="IE944" s="133"/>
      <c r="IF944" s="133"/>
      <c r="IG944" s="133"/>
      <c r="IH944" s="133"/>
      <c r="II944" s="133"/>
      <c r="IJ944" s="133"/>
      <c r="IK944" s="133"/>
      <c r="IL944" s="133"/>
      <c r="IM944" s="133"/>
      <c r="IN944" s="133"/>
      <c r="IO944" s="133"/>
      <c r="IP944" s="133"/>
      <c r="IQ944" s="133"/>
      <c r="IR944" s="133"/>
      <c r="IS944" s="133"/>
      <c r="IT944" s="133"/>
      <c r="IU944" s="133"/>
      <c r="IV944" s="133"/>
    </row>
    <row r="945" spans="1:256" s="132" customFormat="1" ht="13.8">
      <c r="A945" s="133"/>
      <c r="B945" s="133"/>
      <c r="C945" s="133"/>
      <c r="D945" s="133"/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GE945" s="133"/>
      <c r="GF945" s="133"/>
      <c r="GG945" s="133"/>
      <c r="GH945" s="133"/>
      <c r="GI945" s="133"/>
      <c r="GJ945" s="133"/>
      <c r="GK945" s="133"/>
      <c r="GL945" s="133"/>
      <c r="GM945" s="133"/>
      <c r="GN945" s="133"/>
      <c r="GO945" s="133"/>
      <c r="GP945" s="133"/>
      <c r="GQ945" s="133"/>
      <c r="GR945" s="133"/>
      <c r="GS945" s="133"/>
      <c r="GT945" s="133"/>
      <c r="GU945" s="133"/>
      <c r="GV945" s="133"/>
      <c r="GW945" s="133"/>
      <c r="GX945" s="133"/>
      <c r="GY945" s="133"/>
      <c r="GZ945" s="133"/>
      <c r="HA945" s="133"/>
      <c r="HB945" s="133"/>
      <c r="HC945" s="133"/>
      <c r="HD945" s="133"/>
      <c r="HE945" s="133"/>
      <c r="HF945" s="133"/>
      <c r="HG945" s="133"/>
      <c r="HH945" s="133"/>
      <c r="HI945" s="133"/>
      <c r="HJ945" s="133"/>
      <c r="HK945" s="133"/>
      <c r="HL945" s="133"/>
      <c r="HM945" s="133"/>
      <c r="HN945" s="133"/>
      <c r="HO945" s="133"/>
      <c r="HP945" s="133"/>
      <c r="HQ945" s="133"/>
      <c r="HR945" s="133"/>
      <c r="HS945" s="133"/>
      <c r="HT945" s="133"/>
      <c r="HU945" s="133"/>
      <c r="HV945" s="133"/>
      <c r="HW945" s="133"/>
      <c r="HX945" s="133"/>
      <c r="HY945" s="133"/>
      <c r="HZ945" s="133"/>
      <c r="IA945" s="133"/>
      <c r="IB945" s="133"/>
      <c r="IC945" s="133"/>
      <c r="ID945" s="133"/>
      <c r="IE945" s="133"/>
      <c r="IF945" s="133"/>
      <c r="IG945" s="133"/>
      <c r="IH945" s="133"/>
      <c r="II945" s="133"/>
      <c r="IJ945" s="133"/>
      <c r="IK945" s="133"/>
      <c r="IL945" s="133"/>
      <c r="IM945" s="133"/>
      <c r="IN945" s="133"/>
      <c r="IO945" s="133"/>
      <c r="IP945" s="133"/>
      <c r="IQ945" s="133"/>
      <c r="IR945" s="133"/>
      <c r="IS945" s="133"/>
      <c r="IT945" s="133"/>
      <c r="IU945" s="133"/>
      <c r="IV945" s="133"/>
    </row>
    <row r="946" spans="1:256" s="132" customFormat="1" ht="13.8">
      <c r="A946" s="133"/>
      <c r="B946" s="133"/>
      <c r="C946" s="133"/>
      <c r="D946" s="133"/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GE946" s="133"/>
      <c r="GF946" s="133"/>
      <c r="GG946" s="133"/>
      <c r="GH946" s="133"/>
      <c r="GI946" s="133"/>
      <c r="GJ946" s="133"/>
      <c r="GK946" s="133"/>
      <c r="GL946" s="133"/>
      <c r="GM946" s="133"/>
      <c r="GN946" s="133"/>
      <c r="GO946" s="133"/>
      <c r="GP946" s="133"/>
      <c r="GQ946" s="133"/>
      <c r="GR946" s="133"/>
      <c r="GS946" s="133"/>
      <c r="GT946" s="133"/>
      <c r="GU946" s="133"/>
      <c r="GV946" s="133"/>
      <c r="GW946" s="133"/>
      <c r="GX946" s="133"/>
      <c r="GY946" s="133"/>
      <c r="GZ946" s="133"/>
      <c r="HA946" s="133"/>
      <c r="HB946" s="133"/>
      <c r="HC946" s="133"/>
      <c r="HD946" s="133"/>
      <c r="HE946" s="133"/>
      <c r="HF946" s="133"/>
      <c r="HG946" s="133"/>
      <c r="HH946" s="133"/>
      <c r="HI946" s="133"/>
      <c r="HJ946" s="133"/>
      <c r="HK946" s="133"/>
      <c r="HL946" s="133"/>
      <c r="HM946" s="133"/>
      <c r="HN946" s="133"/>
      <c r="HO946" s="133"/>
      <c r="HP946" s="133"/>
      <c r="HQ946" s="133"/>
      <c r="HR946" s="133"/>
      <c r="HS946" s="133"/>
      <c r="HT946" s="133"/>
      <c r="HU946" s="133"/>
      <c r="HV946" s="133"/>
      <c r="HW946" s="133"/>
      <c r="HX946" s="133"/>
      <c r="HY946" s="133"/>
      <c r="HZ946" s="133"/>
      <c r="IA946" s="133"/>
      <c r="IB946" s="133"/>
      <c r="IC946" s="133"/>
      <c r="ID946" s="133"/>
      <c r="IE946" s="133"/>
      <c r="IF946" s="133"/>
      <c r="IG946" s="133"/>
      <c r="IH946" s="133"/>
      <c r="II946" s="133"/>
      <c r="IJ946" s="133"/>
      <c r="IK946" s="133"/>
      <c r="IL946" s="133"/>
      <c r="IM946" s="133"/>
      <c r="IN946" s="133"/>
      <c r="IO946" s="133"/>
      <c r="IP946" s="133"/>
      <c r="IQ946" s="133"/>
      <c r="IR946" s="133"/>
      <c r="IS946" s="133"/>
      <c r="IT946" s="133"/>
      <c r="IU946" s="133"/>
      <c r="IV946" s="133"/>
    </row>
    <row r="947" spans="1:256" s="132" customFormat="1" ht="13.8">
      <c r="A947" s="133"/>
      <c r="B947" s="133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GE947" s="133"/>
      <c r="GF947" s="133"/>
      <c r="GG947" s="133"/>
      <c r="GH947" s="133"/>
      <c r="GI947" s="133"/>
      <c r="GJ947" s="133"/>
      <c r="GK947" s="133"/>
      <c r="GL947" s="133"/>
      <c r="GM947" s="133"/>
      <c r="GN947" s="133"/>
      <c r="GO947" s="133"/>
      <c r="GP947" s="133"/>
      <c r="GQ947" s="133"/>
      <c r="GR947" s="133"/>
      <c r="GS947" s="133"/>
      <c r="GT947" s="133"/>
      <c r="GU947" s="133"/>
      <c r="GV947" s="133"/>
      <c r="GW947" s="133"/>
      <c r="GX947" s="133"/>
      <c r="GY947" s="133"/>
      <c r="GZ947" s="133"/>
      <c r="HA947" s="133"/>
      <c r="HB947" s="133"/>
      <c r="HC947" s="133"/>
      <c r="HD947" s="133"/>
      <c r="HE947" s="133"/>
      <c r="HF947" s="133"/>
      <c r="HG947" s="133"/>
      <c r="HH947" s="133"/>
      <c r="HI947" s="133"/>
      <c r="HJ947" s="133"/>
      <c r="HK947" s="133"/>
      <c r="HL947" s="133"/>
      <c r="HM947" s="133"/>
      <c r="HN947" s="133"/>
      <c r="HO947" s="133"/>
      <c r="HP947" s="133"/>
      <c r="HQ947" s="133"/>
      <c r="HR947" s="133"/>
      <c r="HS947" s="133"/>
      <c r="HT947" s="133"/>
      <c r="HU947" s="133"/>
      <c r="HV947" s="133"/>
      <c r="HW947" s="133"/>
      <c r="HX947" s="133"/>
      <c r="HY947" s="133"/>
      <c r="HZ947" s="133"/>
      <c r="IA947" s="133"/>
      <c r="IB947" s="133"/>
      <c r="IC947" s="133"/>
      <c r="ID947" s="133"/>
      <c r="IE947" s="133"/>
      <c r="IF947" s="133"/>
      <c r="IG947" s="133"/>
      <c r="IH947" s="133"/>
      <c r="II947" s="133"/>
      <c r="IJ947" s="133"/>
      <c r="IK947" s="133"/>
      <c r="IL947" s="133"/>
      <c r="IM947" s="133"/>
      <c r="IN947" s="133"/>
      <c r="IO947" s="133"/>
      <c r="IP947" s="133"/>
      <c r="IQ947" s="133"/>
      <c r="IR947" s="133"/>
      <c r="IS947" s="133"/>
      <c r="IT947" s="133"/>
      <c r="IU947" s="133"/>
      <c r="IV947" s="133"/>
    </row>
    <row r="948" spans="1:256" s="132" customFormat="1" ht="13.8">
      <c r="A948" s="133"/>
      <c r="B948" s="133"/>
      <c r="C948" s="133"/>
      <c r="D948" s="133"/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GE948" s="133"/>
      <c r="GF948" s="133"/>
      <c r="GG948" s="133"/>
      <c r="GH948" s="133"/>
      <c r="GI948" s="133"/>
      <c r="GJ948" s="133"/>
      <c r="GK948" s="133"/>
      <c r="GL948" s="133"/>
      <c r="GM948" s="133"/>
      <c r="GN948" s="133"/>
      <c r="GO948" s="133"/>
      <c r="GP948" s="133"/>
      <c r="GQ948" s="133"/>
      <c r="GR948" s="133"/>
      <c r="GS948" s="133"/>
      <c r="GT948" s="133"/>
      <c r="GU948" s="133"/>
      <c r="GV948" s="133"/>
      <c r="GW948" s="133"/>
      <c r="GX948" s="133"/>
      <c r="GY948" s="133"/>
      <c r="GZ948" s="133"/>
      <c r="HA948" s="133"/>
      <c r="HB948" s="133"/>
      <c r="HC948" s="133"/>
      <c r="HD948" s="133"/>
      <c r="HE948" s="133"/>
      <c r="HF948" s="133"/>
      <c r="HG948" s="133"/>
      <c r="HH948" s="133"/>
      <c r="HI948" s="133"/>
      <c r="HJ948" s="133"/>
      <c r="HK948" s="133"/>
      <c r="HL948" s="133"/>
      <c r="HM948" s="133"/>
      <c r="HN948" s="133"/>
      <c r="HO948" s="133"/>
      <c r="HP948" s="133"/>
      <c r="HQ948" s="133"/>
      <c r="HR948" s="133"/>
      <c r="HS948" s="133"/>
      <c r="HT948" s="133"/>
      <c r="HU948" s="133"/>
      <c r="HV948" s="133"/>
      <c r="HW948" s="133"/>
      <c r="HX948" s="133"/>
      <c r="HY948" s="133"/>
      <c r="HZ948" s="133"/>
      <c r="IA948" s="133"/>
      <c r="IB948" s="133"/>
      <c r="IC948" s="133"/>
      <c r="ID948" s="133"/>
      <c r="IE948" s="133"/>
      <c r="IF948" s="133"/>
      <c r="IG948" s="133"/>
      <c r="IH948" s="133"/>
      <c r="II948" s="133"/>
      <c r="IJ948" s="133"/>
      <c r="IK948" s="133"/>
      <c r="IL948" s="133"/>
      <c r="IM948" s="133"/>
      <c r="IN948" s="133"/>
      <c r="IO948" s="133"/>
      <c r="IP948" s="133"/>
      <c r="IQ948" s="133"/>
      <c r="IR948" s="133"/>
      <c r="IS948" s="133"/>
      <c r="IT948" s="133"/>
      <c r="IU948" s="133"/>
      <c r="IV948" s="133"/>
    </row>
    <row r="949" spans="1:256" s="132" customFormat="1" ht="13.8">
      <c r="A949" s="133"/>
      <c r="B949" s="133"/>
      <c r="C949" s="133"/>
      <c r="D949" s="133"/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GE949" s="133"/>
      <c r="GF949" s="133"/>
      <c r="GG949" s="133"/>
      <c r="GH949" s="133"/>
      <c r="GI949" s="133"/>
      <c r="GJ949" s="133"/>
      <c r="GK949" s="133"/>
      <c r="GL949" s="133"/>
      <c r="GM949" s="133"/>
      <c r="GN949" s="133"/>
      <c r="GO949" s="133"/>
      <c r="GP949" s="133"/>
      <c r="GQ949" s="133"/>
      <c r="GR949" s="133"/>
      <c r="GS949" s="133"/>
      <c r="GT949" s="133"/>
      <c r="GU949" s="133"/>
      <c r="GV949" s="133"/>
      <c r="GW949" s="133"/>
      <c r="GX949" s="133"/>
      <c r="GY949" s="133"/>
      <c r="GZ949" s="133"/>
      <c r="HA949" s="133"/>
      <c r="HB949" s="133"/>
      <c r="HC949" s="133"/>
      <c r="HD949" s="133"/>
      <c r="HE949" s="133"/>
      <c r="HF949" s="133"/>
      <c r="HG949" s="133"/>
      <c r="HH949" s="133"/>
      <c r="HI949" s="133"/>
      <c r="HJ949" s="133"/>
      <c r="HK949" s="133"/>
      <c r="HL949" s="133"/>
      <c r="HM949" s="133"/>
      <c r="HN949" s="133"/>
      <c r="HO949" s="133"/>
      <c r="HP949" s="133"/>
      <c r="HQ949" s="133"/>
      <c r="HR949" s="133"/>
      <c r="HS949" s="133"/>
      <c r="HT949" s="133"/>
      <c r="HU949" s="133"/>
      <c r="HV949" s="133"/>
      <c r="HW949" s="133"/>
      <c r="HX949" s="133"/>
      <c r="HY949" s="133"/>
      <c r="HZ949" s="133"/>
      <c r="IA949" s="133"/>
      <c r="IB949" s="133"/>
      <c r="IC949" s="133"/>
      <c r="ID949" s="133"/>
      <c r="IE949" s="133"/>
      <c r="IF949" s="133"/>
      <c r="IG949" s="133"/>
      <c r="IH949" s="133"/>
      <c r="II949" s="133"/>
      <c r="IJ949" s="133"/>
      <c r="IK949" s="133"/>
      <c r="IL949" s="133"/>
      <c r="IM949" s="133"/>
      <c r="IN949" s="133"/>
      <c r="IO949" s="133"/>
      <c r="IP949" s="133"/>
      <c r="IQ949" s="133"/>
      <c r="IR949" s="133"/>
      <c r="IS949" s="133"/>
      <c r="IT949" s="133"/>
      <c r="IU949" s="133"/>
      <c r="IV949" s="133"/>
    </row>
    <row r="950" spans="1:256" s="132" customFormat="1" ht="13.8">
      <c r="A950" s="133"/>
      <c r="B950" s="133"/>
      <c r="C950" s="133"/>
      <c r="D950" s="133"/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GE950" s="133"/>
      <c r="GF950" s="133"/>
      <c r="GG950" s="133"/>
      <c r="GH950" s="133"/>
      <c r="GI950" s="133"/>
      <c r="GJ950" s="133"/>
      <c r="GK950" s="133"/>
      <c r="GL950" s="133"/>
      <c r="GM950" s="133"/>
      <c r="GN950" s="133"/>
      <c r="GO950" s="133"/>
      <c r="GP950" s="133"/>
      <c r="GQ950" s="133"/>
      <c r="GR950" s="133"/>
      <c r="GS950" s="133"/>
      <c r="GT950" s="133"/>
      <c r="GU950" s="133"/>
      <c r="GV950" s="133"/>
      <c r="GW950" s="133"/>
      <c r="GX950" s="133"/>
      <c r="GY950" s="133"/>
      <c r="GZ950" s="133"/>
      <c r="HA950" s="133"/>
      <c r="HB950" s="133"/>
      <c r="HC950" s="133"/>
      <c r="HD950" s="133"/>
      <c r="HE950" s="133"/>
      <c r="HF950" s="133"/>
      <c r="HG950" s="133"/>
      <c r="HH950" s="133"/>
      <c r="HI950" s="133"/>
      <c r="HJ950" s="133"/>
      <c r="HK950" s="133"/>
      <c r="HL950" s="133"/>
      <c r="HM950" s="133"/>
      <c r="HN950" s="133"/>
      <c r="HO950" s="133"/>
      <c r="HP950" s="133"/>
      <c r="HQ950" s="133"/>
      <c r="HR950" s="133"/>
      <c r="HS950" s="133"/>
      <c r="HT950" s="133"/>
      <c r="HU950" s="133"/>
      <c r="HV950" s="133"/>
      <c r="HW950" s="133"/>
      <c r="HX950" s="133"/>
      <c r="HY950" s="133"/>
      <c r="HZ950" s="133"/>
      <c r="IA950" s="133"/>
      <c r="IB950" s="133"/>
      <c r="IC950" s="133"/>
      <c r="ID950" s="133"/>
      <c r="IE950" s="133"/>
      <c r="IF950" s="133"/>
      <c r="IG950" s="133"/>
      <c r="IH950" s="133"/>
      <c r="II950" s="133"/>
      <c r="IJ950" s="133"/>
      <c r="IK950" s="133"/>
      <c r="IL950" s="133"/>
      <c r="IM950" s="133"/>
      <c r="IN950" s="133"/>
      <c r="IO950" s="133"/>
      <c r="IP950" s="133"/>
      <c r="IQ950" s="133"/>
      <c r="IR950" s="133"/>
      <c r="IS950" s="133"/>
      <c r="IT950" s="133"/>
      <c r="IU950" s="133"/>
      <c r="IV950" s="133"/>
    </row>
    <row r="951" spans="1:256" s="132" customFormat="1" ht="13.8">
      <c r="A951" s="133"/>
      <c r="B951" s="133"/>
      <c r="C951" s="133"/>
      <c r="D951" s="133"/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GE951" s="133"/>
      <c r="GF951" s="133"/>
      <c r="GG951" s="133"/>
      <c r="GH951" s="133"/>
      <c r="GI951" s="133"/>
      <c r="GJ951" s="133"/>
      <c r="GK951" s="133"/>
      <c r="GL951" s="133"/>
      <c r="GM951" s="133"/>
      <c r="GN951" s="133"/>
      <c r="GO951" s="133"/>
      <c r="GP951" s="133"/>
      <c r="GQ951" s="133"/>
      <c r="GR951" s="133"/>
      <c r="GS951" s="133"/>
      <c r="GT951" s="133"/>
      <c r="GU951" s="133"/>
      <c r="GV951" s="133"/>
      <c r="GW951" s="133"/>
      <c r="GX951" s="133"/>
      <c r="GY951" s="133"/>
      <c r="GZ951" s="133"/>
      <c r="HA951" s="133"/>
      <c r="HB951" s="133"/>
      <c r="HC951" s="133"/>
      <c r="HD951" s="133"/>
      <c r="HE951" s="133"/>
      <c r="HF951" s="133"/>
      <c r="HG951" s="133"/>
      <c r="HH951" s="133"/>
      <c r="HI951" s="133"/>
      <c r="HJ951" s="133"/>
      <c r="HK951" s="133"/>
      <c r="HL951" s="133"/>
      <c r="HM951" s="133"/>
      <c r="HN951" s="133"/>
      <c r="HO951" s="133"/>
      <c r="HP951" s="133"/>
      <c r="HQ951" s="133"/>
      <c r="HR951" s="133"/>
      <c r="HS951" s="133"/>
      <c r="HT951" s="133"/>
      <c r="HU951" s="133"/>
      <c r="HV951" s="133"/>
      <c r="HW951" s="133"/>
      <c r="HX951" s="133"/>
      <c r="HY951" s="133"/>
      <c r="HZ951" s="133"/>
      <c r="IA951" s="133"/>
      <c r="IB951" s="133"/>
      <c r="IC951" s="133"/>
      <c r="ID951" s="133"/>
      <c r="IE951" s="133"/>
      <c r="IF951" s="133"/>
      <c r="IG951" s="133"/>
      <c r="IH951" s="133"/>
      <c r="II951" s="133"/>
      <c r="IJ951" s="133"/>
      <c r="IK951" s="133"/>
      <c r="IL951" s="133"/>
      <c r="IM951" s="133"/>
      <c r="IN951" s="133"/>
      <c r="IO951" s="133"/>
      <c r="IP951" s="133"/>
      <c r="IQ951" s="133"/>
      <c r="IR951" s="133"/>
      <c r="IS951" s="133"/>
      <c r="IT951" s="133"/>
      <c r="IU951" s="133"/>
      <c r="IV951" s="133"/>
    </row>
    <row r="952" spans="1:256" s="132" customFormat="1" ht="13.8">
      <c r="A952" s="133"/>
      <c r="B952" s="133"/>
      <c r="C952" s="133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GE952" s="133"/>
      <c r="GF952" s="133"/>
      <c r="GG952" s="133"/>
      <c r="GH952" s="133"/>
      <c r="GI952" s="133"/>
      <c r="GJ952" s="133"/>
      <c r="GK952" s="133"/>
      <c r="GL952" s="133"/>
      <c r="GM952" s="133"/>
      <c r="GN952" s="133"/>
      <c r="GO952" s="133"/>
      <c r="GP952" s="133"/>
      <c r="GQ952" s="133"/>
      <c r="GR952" s="133"/>
      <c r="GS952" s="133"/>
      <c r="GT952" s="133"/>
      <c r="GU952" s="133"/>
      <c r="GV952" s="133"/>
      <c r="GW952" s="133"/>
      <c r="GX952" s="133"/>
      <c r="GY952" s="133"/>
      <c r="GZ952" s="133"/>
      <c r="HA952" s="133"/>
      <c r="HB952" s="133"/>
      <c r="HC952" s="133"/>
      <c r="HD952" s="133"/>
      <c r="HE952" s="133"/>
      <c r="HF952" s="133"/>
      <c r="HG952" s="133"/>
      <c r="HH952" s="133"/>
      <c r="HI952" s="133"/>
      <c r="HJ952" s="133"/>
      <c r="HK952" s="133"/>
      <c r="HL952" s="133"/>
      <c r="HM952" s="133"/>
      <c r="HN952" s="133"/>
      <c r="HO952" s="133"/>
      <c r="HP952" s="133"/>
      <c r="HQ952" s="133"/>
      <c r="HR952" s="133"/>
      <c r="HS952" s="133"/>
      <c r="HT952" s="133"/>
      <c r="HU952" s="133"/>
      <c r="HV952" s="133"/>
      <c r="HW952" s="133"/>
      <c r="HX952" s="133"/>
      <c r="HY952" s="133"/>
      <c r="HZ952" s="133"/>
      <c r="IA952" s="133"/>
      <c r="IB952" s="133"/>
      <c r="IC952" s="133"/>
      <c r="ID952" s="133"/>
      <c r="IE952" s="133"/>
      <c r="IF952" s="133"/>
      <c r="IG952" s="133"/>
      <c r="IH952" s="133"/>
      <c r="II952" s="133"/>
      <c r="IJ952" s="133"/>
      <c r="IK952" s="133"/>
      <c r="IL952" s="133"/>
      <c r="IM952" s="133"/>
      <c r="IN952" s="133"/>
      <c r="IO952" s="133"/>
      <c r="IP952" s="133"/>
      <c r="IQ952" s="133"/>
      <c r="IR952" s="133"/>
      <c r="IS952" s="133"/>
      <c r="IT952" s="133"/>
      <c r="IU952" s="133"/>
      <c r="IV952" s="133"/>
    </row>
    <row r="953" spans="1:256" s="132" customFormat="1" ht="13.8">
      <c r="A953" s="133"/>
      <c r="B953" s="133"/>
      <c r="C953" s="133"/>
      <c r="D953" s="133"/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GE953" s="133"/>
      <c r="GF953" s="133"/>
      <c r="GG953" s="133"/>
      <c r="GH953" s="133"/>
      <c r="GI953" s="133"/>
      <c r="GJ953" s="133"/>
      <c r="GK953" s="133"/>
      <c r="GL953" s="133"/>
      <c r="GM953" s="133"/>
      <c r="GN953" s="133"/>
      <c r="GO953" s="133"/>
      <c r="GP953" s="133"/>
      <c r="GQ953" s="133"/>
      <c r="GR953" s="133"/>
      <c r="GS953" s="133"/>
      <c r="GT953" s="133"/>
      <c r="GU953" s="133"/>
      <c r="GV953" s="133"/>
      <c r="GW953" s="133"/>
      <c r="GX953" s="133"/>
      <c r="GY953" s="133"/>
      <c r="GZ953" s="133"/>
      <c r="HA953" s="133"/>
      <c r="HB953" s="133"/>
      <c r="HC953" s="133"/>
      <c r="HD953" s="133"/>
      <c r="HE953" s="133"/>
      <c r="HF953" s="133"/>
      <c r="HG953" s="133"/>
      <c r="HH953" s="133"/>
      <c r="HI953" s="133"/>
      <c r="HJ953" s="133"/>
      <c r="HK953" s="133"/>
      <c r="HL953" s="133"/>
      <c r="HM953" s="133"/>
      <c r="HN953" s="133"/>
      <c r="HO953" s="133"/>
      <c r="HP953" s="133"/>
      <c r="HQ953" s="133"/>
      <c r="HR953" s="133"/>
      <c r="HS953" s="133"/>
      <c r="HT953" s="133"/>
      <c r="HU953" s="133"/>
      <c r="HV953" s="133"/>
      <c r="HW953" s="133"/>
      <c r="HX953" s="133"/>
      <c r="HY953" s="133"/>
      <c r="HZ953" s="133"/>
      <c r="IA953" s="133"/>
      <c r="IB953" s="133"/>
      <c r="IC953" s="133"/>
      <c r="ID953" s="133"/>
      <c r="IE953" s="133"/>
      <c r="IF953" s="133"/>
      <c r="IG953" s="133"/>
      <c r="IH953" s="133"/>
      <c r="II953" s="133"/>
      <c r="IJ953" s="133"/>
      <c r="IK953" s="133"/>
      <c r="IL953" s="133"/>
      <c r="IM953" s="133"/>
      <c r="IN953" s="133"/>
      <c r="IO953" s="133"/>
      <c r="IP953" s="133"/>
      <c r="IQ953" s="133"/>
      <c r="IR953" s="133"/>
      <c r="IS953" s="133"/>
      <c r="IT953" s="133"/>
      <c r="IU953" s="133"/>
      <c r="IV953" s="133"/>
    </row>
    <row r="954" spans="1:256" s="132" customFormat="1" ht="13.8">
      <c r="A954" s="133"/>
      <c r="B954" s="133"/>
      <c r="C954" s="133"/>
      <c r="D954" s="133"/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GE954" s="133"/>
      <c r="GF954" s="133"/>
      <c r="GG954" s="133"/>
      <c r="GH954" s="133"/>
      <c r="GI954" s="133"/>
      <c r="GJ954" s="133"/>
      <c r="GK954" s="133"/>
      <c r="GL954" s="133"/>
      <c r="GM954" s="133"/>
      <c r="GN954" s="133"/>
      <c r="GO954" s="133"/>
      <c r="GP954" s="133"/>
      <c r="GQ954" s="133"/>
      <c r="GR954" s="133"/>
      <c r="GS954" s="133"/>
      <c r="GT954" s="133"/>
      <c r="GU954" s="133"/>
      <c r="GV954" s="133"/>
      <c r="GW954" s="133"/>
      <c r="GX954" s="133"/>
      <c r="GY954" s="133"/>
      <c r="GZ954" s="133"/>
      <c r="HA954" s="133"/>
      <c r="HB954" s="133"/>
      <c r="HC954" s="133"/>
      <c r="HD954" s="133"/>
      <c r="HE954" s="133"/>
      <c r="HF954" s="133"/>
      <c r="HG954" s="133"/>
      <c r="HH954" s="133"/>
      <c r="HI954" s="133"/>
      <c r="HJ954" s="133"/>
      <c r="HK954" s="133"/>
      <c r="HL954" s="133"/>
      <c r="HM954" s="133"/>
      <c r="HN954" s="133"/>
      <c r="HO954" s="133"/>
      <c r="HP954" s="133"/>
      <c r="HQ954" s="133"/>
      <c r="HR954" s="133"/>
      <c r="HS954" s="133"/>
      <c r="HT954" s="133"/>
      <c r="HU954" s="133"/>
      <c r="HV954" s="133"/>
      <c r="HW954" s="133"/>
      <c r="HX954" s="133"/>
      <c r="HY954" s="133"/>
      <c r="HZ954" s="133"/>
      <c r="IA954" s="133"/>
      <c r="IB954" s="133"/>
      <c r="IC954" s="133"/>
      <c r="ID954" s="133"/>
      <c r="IE954" s="133"/>
      <c r="IF954" s="133"/>
      <c r="IG954" s="133"/>
      <c r="IH954" s="133"/>
      <c r="II954" s="133"/>
      <c r="IJ954" s="133"/>
      <c r="IK954" s="133"/>
      <c r="IL954" s="133"/>
      <c r="IM954" s="133"/>
      <c r="IN954" s="133"/>
      <c r="IO954" s="133"/>
      <c r="IP954" s="133"/>
      <c r="IQ954" s="133"/>
      <c r="IR954" s="133"/>
      <c r="IS954" s="133"/>
      <c r="IT954" s="133"/>
      <c r="IU954" s="133"/>
      <c r="IV954" s="133"/>
    </row>
    <row r="955" spans="1:256" s="132" customFormat="1" ht="13.8">
      <c r="A955" s="133"/>
      <c r="B955" s="133"/>
      <c r="C955" s="133"/>
      <c r="D955" s="133"/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GE955" s="133"/>
      <c r="GF955" s="133"/>
      <c r="GG955" s="133"/>
      <c r="GH955" s="133"/>
      <c r="GI955" s="133"/>
      <c r="GJ955" s="133"/>
      <c r="GK955" s="133"/>
      <c r="GL955" s="133"/>
      <c r="GM955" s="133"/>
      <c r="GN955" s="133"/>
      <c r="GO955" s="133"/>
      <c r="GP955" s="133"/>
      <c r="GQ955" s="133"/>
      <c r="GR955" s="133"/>
      <c r="GS955" s="133"/>
      <c r="GT955" s="133"/>
      <c r="GU955" s="133"/>
      <c r="GV955" s="133"/>
      <c r="GW955" s="133"/>
      <c r="GX955" s="133"/>
      <c r="GY955" s="133"/>
      <c r="GZ955" s="133"/>
      <c r="HA955" s="133"/>
      <c r="HB955" s="133"/>
      <c r="HC955" s="133"/>
      <c r="HD955" s="133"/>
      <c r="HE955" s="133"/>
      <c r="HF955" s="133"/>
      <c r="HG955" s="133"/>
      <c r="HH955" s="133"/>
      <c r="HI955" s="133"/>
      <c r="HJ955" s="133"/>
      <c r="HK955" s="133"/>
      <c r="HL955" s="133"/>
      <c r="HM955" s="133"/>
      <c r="HN955" s="133"/>
      <c r="HO955" s="133"/>
      <c r="HP955" s="133"/>
      <c r="HQ955" s="133"/>
      <c r="HR955" s="133"/>
      <c r="HS955" s="133"/>
      <c r="HT955" s="133"/>
      <c r="HU955" s="133"/>
      <c r="HV955" s="133"/>
      <c r="HW955" s="133"/>
      <c r="HX955" s="133"/>
      <c r="HY955" s="133"/>
      <c r="HZ955" s="133"/>
      <c r="IA955" s="133"/>
      <c r="IB955" s="133"/>
      <c r="IC955" s="133"/>
      <c r="ID955" s="133"/>
      <c r="IE955" s="133"/>
      <c r="IF955" s="133"/>
      <c r="IG955" s="133"/>
      <c r="IH955" s="133"/>
      <c r="II955" s="133"/>
      <c r="IJ955" s="133"/>
      <c r="IK955" s="133"/>
      <c r="IL955" s="133"/>
      <c r="IM955" s="133"/>
      <c r="IN955" s="133"/>
      <c r="IO955" s="133"/>
      <c r="IP955" s="133"/>
      <c r="IQ955" s="133"/>
      <c r="IR955" s="133"/>
      <c r="IS955" s="133"/>
      <c r="IT955" s="133"/>
      <c r="IU955" s="133"/>
      <c r="IV955" s="133"/>
    </row>
    <row r="956" spans="1:256" s="132" customFormat="1" ht="13.8">
      <c r="A956" s="133"/>
      <c r="B956" s="133"/>
      <c r="C956" s="133"/>
      <c r="D956" s="133"/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GE956" s="133"/>
      <c r="GF956" s="133"/>
      <c r="GG956" s="133"/>
      <c r="GH956" s="133"/>
      <c r="GI956" s="133"/>
      <c r="GJ956" s="133"/>
      <c r="GK956" s="133"/>
      <c r="GL956" s="133"/>
      <c r="GM956" s="133"/>
      <c r="GN956" s="133"/>
      <c r="GO956" s="133"/>
      <c r="GP956" s="133"/>
      <c r="GQ956" s="133"/>
      <c r="GR956" s="133"/>
      <c r="GS956" s="133"/>
      <c r="GT956" s="133"/>
      <c r="GU956" s="133"/>
      <c r="GV956" s="133"/>
      <c r="GW956" s="133"/>
      <c r="GX956" s="133"/>
      <c r="GY956" s="133"/>
      <c r="GZ956" s="133"/>
      <c r="HA956" s="133"/>
      <c r="HB956" s="133"/>
      <c r="HC956" s="133"/>
      <c r="HD956" s="133"/>
      <c r="HE956" s="133"/>
      <c r="HF956" s="133"/>
      <c r="HG956" s="133"/>
      <c r="HH956" s="133"/>
      <c r="HI956" s="133"/>
      <c r="HJ956" s="133"/>
      <c r="HK956" s="133"/>
      <c r="HL956" s="133"/>
      <c r="HM956" s="133"/>
      <c r="HN956" s="133"/>
      <c r="HO956" s="133"/>
      <c r="HP956" s="133"/>
      <c r="HQ956" s="133"/>
      <c r="HR956" s="133"/>
      <c r="HS956" s="133"/>
      <c r="HT956" s="133"/>
      <c r="HU956" s="133"/>
      <c r="HV956" s="133"/>
      <c r="HW956" s="133"/>
      <c r="HX956" s="133"/>
      <c r="HY956" s="133"/>
      <c r="HZ956" s="133"/>
      <c r="IA956" s="133"/>
      <c r="IB956" s="133"/>
      <c r="IC956" s="133"/>
      <c r="ID956" s="133"/>
      <c r="IE956" s="133"/>
      <c r="IF956" s="133"/>
      <c r="IG956" s="133"/>
      <c r="IH956" s="133"/>
      <c r="II956" s="133"/>
      <c r="IJ956" s="133"/>
      <c r="IK956" s="133"/>
      <c r="IL956" s="133"/>
      <c r="IM956" s="133"/>
      <c r="IN956" s="133"/>
      <c r="IO956" s="133"/>
      <c r="IP956" s="133"/>
      <c r="IQ956" s="133"/>
      <c r="IR956" s="133"/>
      <c r="IS956" s="133"/>
      <c r="IT956" s="133"/>
      <c r="IU956" s="133"/>
      <c r="IV956" s="133"/>
    </row>
    <row r="957" spans="1:256" s="132" customFormat="1" ht="13.8">
      <c r="A957" s="133"/>
      <c r="B957" s="133"/>
      <c r="C957" s="133"/>
      <c r="D957" s="133"/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GE957" s="133"/>
      <c r="GF957" s="133"/>
      <c r="GG957" s="133"/>
      <c r="GH957" s="133"/>
      <c r="GI957" s="133"/>
      <c r="GJ957" s="133"/>
      <c r="GK957" s="133"/>
      <c r="GL957" s="133"/>
      <c r="GM957" s="133"/>
      <c r="GN957" s="133"/>
      <c r="GO957" s="133"/>
      <c r="GP957" s="133"/>
      <c r="GQ957" s="133"/>
      <c r="GR957" s="133"/>
      <c r="GS957" s="133"/>
      <c r="GT957" s="133"/>
      <c r="GU957" s="133"/>
      <c r="GV957" s="133"/>
      <c r="GW957" s="133"/>
      <c r="GX957" s="133"/>
      <c r="GY957" s="133"/>
      <c r="GZ957" s="133"/>
      <c r="HA957" s="133"/>
      <c r="HB957" s="133"/>
      <c r="HC957" s="133"/>
      <c r="HD957" s="133"/>
      <c r="HE957" s="133"/>
      <c r="HF957" s="133"/>
      <c r="HG957" s="133"/>
      <c r="HH957" s="133"/>
      <c r="HI957" s="133"/>
      <c r="HJ957" s="133"/>
      <c r="HK957" s="133"/>
      <c r="HL957" s="133"/>
      <c r="HM957" s="133"/>
      <c r="HN957" s="133"/>
      <c r="HO957" s="133"/>
      <c r="HP957" s="133"/>
      <c r="HQ957" s="133"/>
      <c r="HR957" s="133"/>
      <c r="HS957" s="133"/>
      <c r="HT957" s="133"/>
      <c r="HU957" s="133"/>
      <c r="HV957" s="133"/>
      <c r="HW957" s="133"/>
      <c r="HX957" s="133"/>
      <c r="HY957" s="133"/>
      <c r="HZ957" s="133"/>
      <c r="IA957" s="133"/>
      <c r="IB957" s="133"/>
      <c r="IC957" s="133"/>
      <c r="ID957" s="133"/>
      <c r="IE957" s="133"/>
      <c r="IF957" s="133"/>
      <c r="IG957" s="133"/>
      <c r="IH957" s="133"/>
      <c r="II957" s="133"/>
      <c r="IJ957" s="133"/>
      <c r="IK957" s="133"/>
      <c r="IL957" s="133"/>
      <c r="IM957" s="133"/>
      <c r="IN957" s="133"/>
      <c r="IO957" s="133"/>
      <c r="IP957" s="133"/>
      <c r="IQ957" s="133"/>
      <c r="IR957" s="133"/>
      <c r="IS957" s="133"/>
      <c r="IT957" s="133"/>
      <c r="IU957" s="133"/>
      <c r="IV957" s="133"/>
    </row>
    <row r="958" spans="1:256" s="132" customFormat="1" ht="13.8">
      <c r="A958" s="133"/>
      <c r="B958" s="133"/>
      <c r="C958" s="133"/>
      <c r="D958" s="133"/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GE958" s="133"/>
      <c r="GF958" s="133"/>
      <c r="GG958" s="133"/>
      <c r="GH958" s="133"/>
      <c r="GI958" s="133"/>
      <c r="GJ958" s="133"/>
      <c r="GK958" s="133"/>
      <c r="GL958" s="133"/>
      <c r="GM958" s="133"/>
      <c r="GN958" s="133"/>
      <c r="GO958" s="133"/>
      <c r="GP958" s="133"/>
      <c r="GQ958" s="133"/>
      <c r="GR958" s="133"/>
      <c r="GS958" s="133"/>
      <c r="GT958" s="133"/>
      <c r="GU958" s="133"/>
      <c r="GV958" s="133"/>
      <c r="GW958" s="133"/>
      <c r="GX958" s="133"/>
      <c r="GY958" s="133"/>
      <c r="GZ958" s="133"/>
      <c r="HA958" s="133"/>
      <c r="HB958" s="133"/>
      <c r="HC958" s="133"/>
      <c r="HD958" s="133"/>
      <c r="HE958" s="133"/>
      <c r="HF958" s="133"/>
      <c r="HG958" s="133"/>
      <c r="HH958" s="133"/>
      <c r="HI958" s="133"/>
      <c r="HJ958" s="133"/>
      <c r="HK958" s="133"/>
      <c r="HL958" s="133"/>
      <c r="HM958" s="133"/>
      <c r="HN958" s="133"/>
      <c r="HO958" s="133"/>
      <c r="HP958" s="133"/>
      <c r="HQ958" s="133"/>
      <c r="HR958" s="133"/>
      <c r="HS958" s="133"/>
      <c r="HT958" s="133"/>
      <c r="HU958" s="133"/>
      <c r="HV958" s="133"/>
      <c r="HW958" s="133"/>
      <c r="HX958" s="133"/>
      <c r="HY958" s="133"/>
      <c r="HZ958" s="133"/>
      <c r="IA958" s="133"/>
      <c r="IB958" s="133"/>
      <c r="IC958" s="133"/>
      <c r="ID958" s="133"/>
      <c r="IE958" s="133"/>
      <c r="IF958" s="133"/>
      <c r="IG958" s="133"/>
      <c r="IH958" s="133"/>
      <c r="II958" s="133"/>
      <c r="IJ958" s="133"/>
      <c r="IK958" s="133"/>
      <c r="IL958" s="133"/>
      <c r="IM958" s="133"/>
      <c r="IN958" s="133"/>
      <c r="IO958" s="133"/>
      <c r="IP958" s="133"/>
      <c r="IQ958" s="133"/>
      <c r="IR958" s="133"/>
      <c r="IS958" s="133"/>
      <c r="IT958" s="133"/>
      <c r="IU958" s="133"/>
      <c r="IV958" s="133"/>
    </row>
    <row r="959" spans="1:256" s="132" customFormat="1" ht="13.8">
      <c r="A959" s="133"/>
      <c r="B959" s="133"/>
      <c r="C959" s="133"/>
      <c r="D959" s="133"/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GE959" s="133"/>
      <c r="GF959" s="133"/>
      <c r="GG959" s="133"/>
      <c r="GH959" s="133"/>
      <c r="GI959" s="133"/>
      <c r="GJ959" s="133"/>
      <c r="GK959" s="133"/>
      <c r="GL959" s="133"/>
      <c r="GM959" s="133"/>
      <c r="GN959" s="133"/>
      <c r="GO959" s="133"/>
      <c r="GP959" s="133"/>
      <c r="GQ959" s="133"/>
      <c r="GR959" s="133"/>
      <c r="GS959" s="133"/>
      <c r="GT959" s="133"/>
      <c r="GU959" s="133"/>
      <c r="GV959" s="133"/>
      <c r="GW959" s="133"/>
      <c r="GX959" s="133"/>
      <c r="GY959" s="133"/>
      <c r="GZ959" s="133"/>
      <c r="HA959" s="133"/>
      <c r="HB959" s="133"/>
      <c r="HC959" s="133"/>
      <c r="HD959" s="133"/>
      <c r="HE959" s="133"/>
      <c r="HF959" s="133"/>
      <c r="HG959" s="133"/>
      <c r="HH959" s="133"/>
      <c r="HI959" s="133"/>
      <c r="HJ959" s="133"/>
      <c r="HK959" s="133"/>
      <c r="HL959" s="133"/>
      <c r="HM959" s="133"/>
      <c r="HN959" s="133"/>
      <c r="HO959" s="133"/>
      <c r="HP959" s="133"/>
      <c r="HQ959" s="133"/>
      <c r="HR959" s="133"/>
      <c r="HS959" s="133"/>
      <c r="HT959" s="133"/>
      <c r="HU959" s="133"/>
      <c r="HV959" s="133"/>
      <c r="HW959" s="133"/>
      <c r="HX959" s="133"/>
      <c r="HY959" s="133"/>
      <c r="HZ959" s="133"/>
      <c r="IA959" s="133"/>
      <c r="IB959" s="133"/>
      <c r="IC959" s="133"/>
      <c r="ID959" s="133"/>
      <c r="IE959" s="133"/>
      <c r="IF959" s="133"/>
      <c r="IG959" s="133"/>
      <c r="IH959" s="133"/>
      <c r="II959" s="133"/>
      <c r="IJ959" s="133"/>
      <c r="IK959" s="133"/>
      <c r="IL959" s="133"/>
      <c r="IM959" s="133"/>
      <c r="IN959" s="133"/>
      <c r="IO959" s="133"/>
      <c r="IP959" s="133"/>
      <c r="IQ959" s="133"/>
      <c r="IR959" s="133"/>
      <c r="IS959" s="133"/>
      <c r="IT959" s="133"/>
      <c r="IU959" s="133"/>
      <c r="IV959" s="133"/>
    </row>
    <row r="960" spans="1:256" s="132" customFormat="1" ht="13.8">
      <c r="A960" s="133"/>
      <c r="B960" s="133"/>
      <c r="C960" s="133"/>
      <c r="D960" s="133"/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GE960" s="133"/>
      <c r="GF960" s="133"/>
      <c r="GG960" s="133"/>
      <c r="GH960" s="133"/>
      <c r="GI960" s="133"/>
      <c r="GJ960" s="133"/>
      <c r="GK960" s="133"/>
      <c r="GL960" s="133"/>
      <c r="GM960" s="133"/>
      <c r="GN960" s="133"/>
      <c r="GO960" s="133"/>
      <c r="GP960" s="133"/>
      <c r="GQ960" s="133"/>
      <c r="GR960" s="133"/>
      <c r="GS960" s="133"/>
      <c r="GT960" s="133"/>
      <c r="GU960" s="133"/>
      <c r="GV960" s="133"/>
      <c r="GW960" s="133"/>
      <c r="GX960" s="133"/>
      <c r="GY960" s="133"/>
      <c r="GZ960" s="133"/>
      <c r="HA960" s="133"/>
      <c r="HB960" s="133"/>
      <c r="HC960" s="133"/>
      <c r="HD960" s="133"/>
      <c r="HE960" s="133"/>
      <c r="HF960" s="133"/>
      <c r="HG960" s="133"/>
      <c r="HH960" s="133"/>
      <c r="HI960" s="133"/>
      <c r="HJ960" s="133"/>
      <c r="HK960" s="133"/>
      <c r="HL960" s="133"/>
      <c r="HM960" s="133"/>
      <c r="HN960" s="133"/>
      <c r="HO960" s="133"/>
      <c r="HP960" s="133"/>
      <c r="HQ960" s="133"/>
      <c r="HR960" s="133"/>
      <c r="HS960" s="133"/>
      <c r="HT960" s="133"/>
      <c r="HU960" s="133"/>
      <c r="HV960" s="133"/>
      <c r="HW960" s="133"/>
      <c r="HX960" s="133"/>
      <c r="HY960" s="133"/>
      <c r="HZ960" s="133"/>
      <c r="IA960" s="133"/>
      <c r="IB960" s="133"/>
      <c r="IC960" s="133"/>
      <c r="ID960" s="133"/>
      <c r="IE960" s="133"/>
      <c r="IF960" s="133"/>
      <c r="IG960" s="133"/>
      <c r="IH960" s="133"/>
      <c r="II960" s="133"/>
      <c r="IJ960" s="133"/>
      <c r="IK960" s="133"/>
      <c r="IL960" s="133"/>
      <c r="IM960" s="133"/>
      <c r="IN960" s="133"/>
      <c r="IO960" s="133"/>
      <c r="IP960" s="133"/>
      <c r="IQ960" s="133"/>
      <c r="IR960" s="133"/>
      <c r="IS960" s="133"/>
      <c r="IT960" s="133"/>
      <c r="IU960" s="133"/>
      <c r="IV960" s="133"/>
    </row>
    <row r="961" spans="1:256" s="132" customFormat="1" ht="13.8">
      <c r="A961" s="133"/>
      <c r="B961" s="133"/>
      <c r="C961" s="133"/>
      <c r="D961" s="133"/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GE961" s="133"/>
      <c r="GF961" s="133"/>
      <c r="GG961" s="133"/>
      <c r="GH961" s="133"/>
      <c r="GI961" s="133"/>
      <c r="GJ961" s="133"/>
      <c r="GK961" s="133"/>
      <c r="GL961" s="133"/>
      <c r="GM961" s="133"/>
      <c r="GN961" s="133"/>
      <c r="GO961" s="133"/>
      <c r="GP961" s="133"/>
      <c r="GQ961" s="133"/>
      <c r="GR961" s="133"/>
      <c r="GS961" s="133"/>
      <c r="GT961" s="133"/>
      <c r="GU961" s="133"/>
      <c r="GV961" s="133"/>
      <c r="GW961" s="133"/>
      <c r="GX961" s="133"/>
      <c r="GY961" s="133"/>
      <c r="GZ961" s="133"/>
      <c r="HA961" s="133"/>
      <c r="HB961" s="133"/>
      <c r="HC961" s="133"/>
      <c r="HD961" s="133"/>
      <c r="HE961" s="133"/>
      <c r="HF961" s="133"/>
      <c r="HG961" s="133"/>
      <c r="HH961" s="133"/>
      <c r="HI961" s="133"/>
      <c r="HJ961" s="133"/>
      <c r="HK961" s="133"/>
      <c r="HL961" s="133"/>
      <c r="HM961" s="133"/>
      <c r="HN961" s="133"/>
      <c r="HO961" s="133"/>
      <c r="HP961" s="133"/>
      <c r="HQ961" s="133"/>
      <c r="HR961" s="133"/>
      <c r="HS961" s="133"/>
      <c r="HT961" s="133"/>
      <c r="HU961" s="133"/>
      <c r="HV961" s="133"/>
      <c r="HW961" s="133"/>
      <c r="HX961" s="133"/>
      <c r="HY961" s="133"/>
      <c r="HZ961" s="133"/>
      <c r="IA961" s="133"/>
      <c r="IB961" s="133"/>
      <c r="IC961" s="133"/>
      <c r="ID961" s="133"/>
      <c r="IE961" s="133"/>
      <c r="IF961" s="133"/>
      <c r="IG961" s="133"/>
      <c r="IH961" s="133"/>
      <c r="II961" s="133"/>
      <c r="IJ961" s="133"/>
      <c r="IK961" s="133"/>
      <c r="IL961" s="133"/>
      <c r="IM961" s="133"/>
      <c r="IN961" s="133"/>
      <c r="IO961" s="133"/>
      <c r="IP961" s="133"/>
      <c r="IQ961" s="133"/>
      <c r="IR961" s="133"/>
      <c r="IS961" s="133"/>
      <c r="IT961" s="133"/>
      <c r="IU961" s="133"/>
      <c r="IV961" s="133"/>
    </row>
    <row r="962" spans="1:256" s="132" customFormat="1" ht="13.8">
      <c r="A962" s="133"/>
      <c r="B962" s="133"/>
      <c r="C962" s="133"/>
      <c r="D962" s="133"/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GE962" s="133"/>
      <c r="GF962" s="133"/>
      <c r="GG962" s="133"/>
      <c r="GH962" s="133"/>
      <c r="GI962" s="133"/>
      <c r="GJ962" s="133"/>
      <c r="GK962" s="133"/>
      <c r="GL962" s="133"/>
      <c r="GM962" s="133"/>
      <c r="GN962" s="133"/>
      <c r="GO962" s="133"/>
      <c r="GP962" s="133"/>
      <c r="GQ962" s="133"/>
      <c r="GR962" s="133"/>
      <c r="GS962" s="133"/>
      <c r="GT962" s="133"/>
      <c r="GU962" s="133"/>
      <c r="GV962" s="133"/>
      <c r="GW962" s="133"/>
      <c r="GX962" s="133"/>
      <c r="GY962" s="133"/>
      <c r="GZ962" s="133"/>
      <c r="HA962" s="133"/>
      <c r="HB962" s="133"/>
      <c r="HC962" s="133"/>
      <c r="HD962" s="133"/>
      <c r="HE962" s="133"/>
      <c r="HF962" s="133"/>
      <c r="HG962" s="133"/>
      <c r="HH962" s="133"/>
      <c r="HI962" s="133"/>
      <c r="HJ962" s="133"/>
      <c r="HK962" s="133"/>
      <c r="HL962" s="133"/>
      <c r="HM962" s="133"/>
      <c r="HN962" s="133"/>
      <c r="HO962" s="133"/>
      <c r="HP962" s="133"/>
      <c r="HQ962" s="133"/>
      <c r="HR962" s="133"/>
      <c r="HS962" s="133"/>
      <c r="HT962" s="133"/>
      <c r="HU962" s="133"/>
      <c r="HV962" s="133"/>
      <c r="HW962" s="133"/>
      <c r="HX962" s="133"/>
      <c r="HY962" s="133"/>
      <c r="HZ962" s="133"/>
      <c r="IA962" s="133"/>
      <c r="IB962" s="133"/>
      <c r="IC962" s="133"/>
      <c r="ID962" s="133"/>
      <c r="IE962" s="133"/>
      <c r="IF962" s="133"/>
      <c r="IG962" s="133"/>
      <c r="IH962" s="133"/>
      <c r="II962" s="133"/>
      <c r="IJ962" s="133"/>
      <c r="IK962" s="133"/>
      <c r="IL962" s="133"/>
      <c r="IM962" s="133"/>
      <c r="IN962" s="133"/>
      <c r="IO962" s="133"/>
      <c r="IP962" s="133"/>
      <c r="IQ962" s="133"/>
      <c r="IR962" s="133"/>
      <c r="IS962" s="133"/>
      <c r="IT962" s="133"/>
      <c r="IU962" s="133"/>
      <c r="IV962" s="133"/>
    </row>
    <row r="963" spans="1:256" s="132" customFormat="1" ht="13.8">
      <c r="A963" s="133"/>
      <c r="B963" s="133"/>
      <c r="C963" s="133"/>
      <c r="D963" s="133"/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GE963" s="133"/>
      <c r="GF963" s="133"/>
      <c r="GG963" s="133"/>
      <c r="GH963" s="133"/>
      <c r="GI963" s="133"/>
      <c r="GJ963" s="133"/>
      <c r="GK963" s="133"/>
      <c r="GL963" s="133"/>
      <c r="GM963" s="133"/>
      <c r="GN963" s="133"/>
      <c r="GO963" s="133"/>
      <c r="GP963" s="133"/>
      <c r="GQ963" s="133"/>
      <c r="GR963" s="133"/>
      <c r="GS963" s="133"/>
      <c r="GT963" s="133"/>
      <c r="GU963" s="133"/>
      <c r="GV963" s="133"/>
      <c r="GW963" s="133"/>
      <c r="GX963" s="133"/>
      <c r="GY963" s="133"/>
      <c r="GZ963" s="133"/>
      <c r="HA963" s="133"/>
      <c r="HB963" s="133"/>
      <c r="HC963" s="133"/>
      <c r="HD963" s="133"/>
      <c r="HE963" s="133"/>
      <c r="HF963" s="133"/>
      <c r="HG963" s="133"/>
      <c r="HH963" s="133"/>
      <c r="HI963" s="133"/>
      <c r="HJ963" s="133"/>
      <c r="HK963" s="133"/>
      <c r="HL963" s="133"/>
      <c r="HM963" s="133"/>
      <c r="HN963" s="133"/>
      <c r="HO963" s="133"/>
      <c r="HP963" s="133"/>
      <c r="HQ963" s="133"/>
      <c r="HR963" s="133"/>
      <c r="HS963" s="133"/>
      <c r="HT963" s="133"/>
      <c r="HU963" s="133"/>
      <c r="HV963" s="133"/>
      <c r="HW963" s="133"/>
      <c r="HX963" s="133"/>
      <c r="HY963" s="133"/>
      <c r="HZ963" s="133"/>
      <c r="IA963" s="133"/>
      <c r="IB963" s="133"/>
      <c r="IC963" s="133"/>
      <c r="ID963" s="133"/>
      <c r="IE963" s="133"/>
      <c r="IF963" s="133"/>
      <c r="IG963" s="133"/>
      <c r="IH963" s="133"/>
      <c r="II963" s="133"/>
      <c r="IJ963" s="133"/>
      <c r="IK963" s="133"/>
      <c r="IL963" s="133"/>
      <c r="IM963" s="133"/>
      <c r="IN963" s="133"/>
      <c r="IO963" s="133"/>
      <c r="IP963" s="133"/>
      <c r="IQ963" s="133"/>
      <c r="IR963" s="133"/>
      <c r="IS963" s="133"/>
      <c r="IT963" s="133"/>
      <c r="IU963" s="133"/>
      <c r="IV963" s="133"/>
    </row>
    <row r="964" spans="1:256" s="132" customFormat="1" ht="13.8">
      <c r="A964" s="133"/>
      <c r="B964" s="133"/>
      <c r="C964" s="133"/>
      <c r="D964" s="133"/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GE964" s="133"/>
      <c r="GF964" s="133"/>
      <c r="GG964" s="133"/>
      <c r="GH964" s="133"/>
      <c r="GI964" s="133"/>
      <c r="GJ964" s="133"/>
      <c r="GK964" s="133"/>
      <c r="GL964" s="133"/>
      <c r="GM964" s="133"/>
      <c r="GN964" s="133"/>
      <c r="GO964" s="133"/>
      <c r="GP964" s="133"/>
      <c r="GQ964" s="133"/>
      <c r="GR964" s="133"/>
      <c r="GS964" s="133"/>
      <c r="GT964" s="133"/>
      <c r="GU964" s="133"/>
      <c r="GV964" s="133"/>
      <c r="GW964" s="133"/>
      <c r="GX964" s="133"/>
      <c r="GY964" s="133"/>
      <c r="GZ964" s="133"/>
      <c r="HA964" s="133"/>
      <c r="HB964" s="133"/>
      <c r="HC964" s="133"/>
      <c r="HD964" s="133"/>
      <c r="HE964" s="133"/>
      <c r="HF964" s="133"/>
      <c r="HG964" s="133"/>
      <c r="HH964" s="133"/>
      <c r="HI964" s="133"/>
      <c r="HJ964" s="133"/>
      <c r="HK964" s="133"/>
      <c r="HL964" s="133"/>
      <c r="HM964" s="133"/>
      <c r="HN964" s="133"/>
      <c r="HO964" s="133"/>
      <c r="HP964" s="133"/>
      <c r="HQ964" s="133"/>
      <c r="HR964" s="133"/>
      <c r="HS964" s="133"/>
      <c r="HT964" s="133"/>
      <c r="HU964" s="133"/>
      <c r="HV964" s="133"/>
      <c r="HW964" s="133"/>
      <c r="HX964" s="133"/>
      <c r="HY964" s="133"/>
      <c r="HZ964" s="133"/>
      <c r="IA964" s="133"/>
      <c r="IB964" s="133"/>
      <c r="IC964" s="133"/>
      <c r="ID964" s="133"/>
      <c r="IE964" s="133"/>
      <c r="IF964" s="133"/>
      <c r="IG964" s="133"/>
      <c r="IH964" s="133"/>
      <c r="II964" s="133"/>
      <c r="IJ964" s="133"/>
      <c r="IK964" s="133"/>
      <c r="IL964" s="133"/>
      <c r="IM964" s="133"/>
      <c r="IN964" s="133"/>
      <c r="IO964" s="133"/>
      <c r="IP964" s="133"/>
      <c r="IQ964" s="133"/>
      <c r="IR964" s="133"/>
      <c r="IS964" s="133"/>
      <c r="IT964" s="133"/>
      <c r="IU964" s="133"/>
      <c r="IV964" s="133"/>
    </row>
    <row r="965" spans="1:256" s="132" customFormat="1" ht="13.8">
      <c r="A965" s="133"/>
      <c r="B965" s="133"/>
      <c r="C965" s="133"/>
      <c r="D965" s="133"/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GE965" s="133"/>
      <c r="GF965" s="133"/>
      <c r="GG965" s="133"/>
      <c r="GH965" s="133"/>
      <c r="GI965" s="133"/>
      <c r="GJ965" s="133"/>
      <c r="GK965" s="133"/>
      <c r="GL965" s="133"/>
      <c r="GM965" s="133"/>
      <c r="GN965" s="133"/>
      <c r="GO965" s="133"/>
      <c r="GP965" s="133"/>
      <c r="GQ965" s="133"/>
      <c r="GR965" s="133"/>
      <c r="GS965" s="133"/>
      <c r="GT965" s="133"/>
      <c r="GU965" s="133"/>
      <c r="GV965" s="133"/>
      <c r="GW965" s="133"/>
      <c r="GX965" s="133"/>
      <c r="GY965" s="133"/>
      <c r="GZ965" s="133"/>
      <c r="HA965" s="133"/>
      <c r="HB965" s="133"/>
      <c r="HC965" s="133"/>
      <c r="HD965" s="133"/>
      <c r="HE965" s="133"/>
      <c r="HF965" s="133"/>
      <c r="HG965" s="133"/>
      <c r="HH965" s="133"/>
      <c r="HI965" s="133"/>
      <c r="HJ965" s="133"/>
      <c r="HK965" s="133"/>
      <c r="HL965" s="133"/>
      <c r="HM965" s="133"/>
      <c r="HN965" s="133"/>
      <c r="HO965" s="133"/>
      <c r="HP965" s="133"/>
      <c r="HQ965" s="133"/>
      <c r="HR965" s="133"/>
      <c r="HS965" s="133"/>
      <c r="HT965" s="133"/>
      <c r="HU965" s="133"/>
      <c r="HV965" s="133"/>
      <c r="HW965" s="133"/>
      <c r="HX965" s="133"/>
      <c r="HY965" s="133"/>
      <c r="HZ965" s="133"/>
      <c r="IA965" s="133"/>
      <c r="IB965" s="133"/>
      <c r="IC965" s="133"/>
      <c r="ID965" s="133"/>
      <c r="IE965" s="133"/>
      <c r="IF965" s="133"/>
      <c r="IG965" s="133"/>
      <c r="IH965" s="133"/>
      <c r="II965" s="133"/>
      <c r="IJ965" s="133"/>
      <c r="IK965" s="133"/>
      <c r="IL965" s="133"/>
      <c r="IM965" s="133"/>
      <c r="IN965" s="133"/>
      <c r="IO965" s="133"/>
      <c r="IP965" s="133"/>
      <c r="IQ965" s="133"/>
      <c r="IR965" s="133"/>
      <c r="IS965" s="133"/>
      <c r="IT965" s="133"/>
      <c r="IU965" s="133"/>
      <c r="IV965" s="133"/>
    </row>
    <row r="966" spans="1:256" s="132" customFormat="1" ht="13.8">
      <c r="A966" s="133"/>
      <c r="B966" s="133"/>
      <c r="C966" s="133"/>
      <c r="D966" s="133"/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GE966" s="133"/>
      <c r="GF966" s="133"/>
      <c r="GG966" s="133"/>
      <c r="GH966" s="133"/>
      <c r="GI966" s="133"/>
      <c r="GJ966" s="133"/>
      <c r="GK966" s="133"/>
      <c r="GL966" s="133"/>
      <c r="GM966" s="133"/>
      <c r="GN966" s="133"/>
      <c r="GO966" s="133"/>
      <c r="GP966" s="133"/>
      <c r="GQ966" s="133"/>
      <c r="GR966" s="133"/>
      <c r="GS966" s="133"/>
      <c r="GT966" s="133"/>
      <c r="GU966" s="133"/>
      <c r="GV966" s="133"/>
      <c r="GW966" s="133"/>
      <c r="GX966" s="133"/>
      <c r="GY966" s="133"/>
      <c r="GZ966" s="133"/>
      <c r="HA966" s="133"/>
      <c r="HB966" s="133"/>
      <c r="HC966" s="133"/>
      <c r="HD966" s="133"/>
      <c r="HE966" s="133"/>
      <c r="HF966" s="133"/>
      <c r="HG966" s="133"/>
      <c r="HH966" s="133"/>
      <c r="HI966" s="133"/>
      <c r="HJ966" s="133"/>
      <c r="HK966" s="133"/>
      <c r="HL966" s="133"/>
      <c r="HM966" s="133"/>
      <c r="HN966" s="133"/>
      <c r="HO966" s="133"/>
      <c r="HP966" s="133"/>
      <c r="HQ966" s="133"/>
      <c r="HR966" s="133"/>
      <c r="HS966" s="133"/>
      <c r="HT966" s="133"/>
      <c r="HU966" s="133"/>
      <c r="HV966" s="133"/>
      <c r="HW966" s="133"/>
      <c r="HX966" s="133"/>
      <c r="HY966" s="133"/>
      <c r="HZ966" s="133"/>
      <c r="IA966" s="133"/>
      <c r="IB966" s="133"/>
      <c r="IC966" s="133"/>
      <c r="ID966" s="133"/>
      <c r="IE966" s="133"/>
      <c r="IF966" s="133"/>
      <c r="IG966" s="133"/>
      <c r="IH966" s="133"/>
      <c r="II966" s="133"/>
      <c r="IJ966" s="133"/>
      <c r="IK966" s="133"/>
      <c r="IL966" s="133"/>
      <c r="IM966" s="133"/>
      <c r="IN966" s="133"/>
      <c r="IO966" s="133"/>
      <c r="IP966" s="133"/>
      <c r="IQ966" s="133"/>
      <c r="IR966" s="133"/>
      <c r="IS966" s="133"/>
      <c r="IT966" s="133"/>
      <c r="IU966" s="133"/>
      <c r="IV966" s="133"/>
    </row>
    <row r="967" spans="1:256" s="132" customFormat="1" ht="13.8">
      <c r="A967" s="133"/>
      <c r="B967" s="133"/>
      <c r="C967" s="133"/>
      <c r="D967" s="133"/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GE967" s="133"/>
      <c r="GF967" s="133"/>
      <c r="GG967" s="133"/>
      <c r="GH967" s="133"/>
      <c r="GI967" s="133"/>
      <c r="GJ967" s="133"/>
      <c r="GK967" s="133"/>
      <c r="GL967" s="133"/>
      <c r="GM967" s="133"/>
      <c r="GN967" s="133"/>
      <c r="GO967" s="133"/>
      <c r="GP967" s="133"/>
      <c r="GQ967" s="133"/>
      <c r="GR967" s="133"/>
      <c r="GS967" s="133"/>
      <c r="GT967" s="133"/>
      <c r="GU967" s="133"/>
      <c r="GV967" s="133"/>
      <c r="GW967" s="133"/>
      <c r="GX967" s="133"/>
      <c r="GY967" s="133"/>
      <c r="GZ967" s="133"/>
      <c r="HA967" s="133"/>
      <c r="HB967" s="133"/>
      <c r="HC967" s="133"/>
      <c r="HD967" s="133"/>
      <c r="HE967" s="133"/>
      <c r="HF967" s="133"/>
      <c r="HG967" s="133"/>
      <c r="HH967" s="133"/>
      <c r="HI967" s="133"/>
      <c r="HJ967" s="133"/>
      <c r="HK967" s="133"/>
      <c r="HL967" s="133"/>
      <c r="HM967" s="133"/>
      <c r="HN967" s="133"/>
      <c r="HO967" s="133"/>
      <c r="HP967" s="133"/>
      <c r="HQ967" s="133"/>
      <c r="HR967" s="133"/>
      <c r="HS967" s="133"/>
      <c r="HT967" s="133"/>
      <c r="HU967" s="133"/>
      <c r="HV967" s="133"/>
      <c r="HW967" s="133"/>
      <c r="HX967" s="133"/>
      <c r="HY967" s="133"/>
      <c r="HZ967" s="133"/>
      <c r="IA967" s="133"/>
      <c r="IB967" s="133"/>
      <c r="IC967" s="133"/>
      <c r="ID967" s="133"/>
      <c r="IE967" s="133"/>
      <c r="IF967" s="133"/>
      <c r="IG967" s="133"/>
      <c r="IH967" s="133"/>
      <c r="II967" s="133"/>
      <c r="IJ967" s="133"/>
      <c r="IK967" s="133"/>
      <c r="IL967" s="133"/>
      <c r="IM967" s="133"/>
      <c r="IN967" s="133"/>
      <c r="IO967" s="133"/>
      <c r="IP967" s="133"/>
      <c r="IQ967" s="133"/>
      <c r="IR967" s="133"/>
      <c r="IS967" s="133"/>
      <c r="IT967" s="133"/>
      <c r="IU967" s="133"/>
      <c r="IV967" s="133"/>
    </row>
    <row r="968" spans="1:256" s="132" customFormat="1" ht="13.8">
      <c r="A968" s="133"/>
      <c r="B968" s="133"/>
      <c r="C968" s="133"/>
      <c r="D968" s="133"/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GE968" s="133"/>
      <c r="GF968" s="133"/>
      <c r="GG968" s="133"/>
      <c r="GH968" s="133"/>
      <c r="GI968" s="133"/>
      <c r="GJ968" s="133"/>
      <c r="GK968" s="133"/>
      <c r="GL968" s="133"/>
      <c r="GM968" s="133"/>
      <c r="GN968" s="133"/>
      <c r="GO968" s="133"/>
      <c r="GP968" s="133"/>
      <c r="GQ968" s="133"/>
      <c r="GR968" s="133"/>
      <c r="GS968" s="133"/>
      <c r="GT968" s="133"/>
      <c r="GU968" s="133"/>
      <c r="GV968" s="133"/>
      <c r="GW968" s="133"/>
      <c r="GX968" s="133"/>
      <c r="GY968" s="133"/>
      <c r="GZ968" s="133"/>
      <c r="HA968" s="133"/>
      <c r="HB968" s="133"/>
      <c r="HC968" s="133"/>
      <c r="HD968" s="133"/>
      <c r="HE968" s="133"/>
      <c r="HF968" s="133"/>
      <c r="HG968" s="133"/>
      <c r="HH968" s="133"/>
      <c r="HI968" s="133"/>
      <c r="HJ968" s="133"/>
      <c r="HK968" s="133"/>
      <c r="HL968" s="133"/>
      <c r="HM968" s="133"/>
      <c r="HN968" s="133"/>
      <c r="HO968" s="133"/>
      <c r="HP968" s="133"/>
      <c r="HQ968" s="133"/>
      <c r="HR968" s="133"/>
      <c r="HS968" s="133"/>
      <c r="HT968" s="133"/>
      <c r="HU968" s="133"/>
      <c r="HV968" s="133"/>
      <c r="HW968" s="133"/>
      <c r="HX968" s="133"/>
      <c r="HY968" s="133"/>
      <c r="HZ968" s="133"/>
      <c r="IA968" s="133"/>
      <c r="IB968" s="133"/>
      <c r="IC968" s="133"/>
      <c r="ID968" s="133"/>
      <c r="IE968" s="133"/>
      <c r="IF968" s="133"/>
      <c r="IG968" s="133"/>
      <c r="IH968" s="133"/>
      <c r="II968" s="133"/>
      <c r="IJ968" s="133"/>
      <c r="IK968" s="133"/>
      <c r="IL968" s="133"/>
      <c r="IM968" s="133"/>
      <c r="IN968" s="133"/>
      <c r="IO968" s="133"/>
      <c r="IP968" s="133"/>
      <c r="IQ968" s="133"/>
      <c r="IR968" s="133"/>
      <c r="IS968" s="133"/>
      <c r="IT968" s="133"/>
      <c r="IU968" s="133"/>
      <c r="IV968" s="133"/>
    </row>
    <row r="969" spans="1:256" s="132" customFormat="1" ht="13.8">
      <c r="A969" s="133"/>
      <c r="B969" s="133"/>
      <c r="C969" s="133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GE969" s="133"/>
      <c r="GF969" s="133"/>
      <c r="GG969" s="133"/>
      <c r="GH969" s="133"/>
      <c r="GI969" s="133"/>
      <c r="GJ969" s="133"/>
      <c r="GK969" s="133"/>
      <c r="GL969" s="133"/>
      <c r="GM969" s="133"/>
      <c r="GN969" s="133"/>
      <c r="GO969" s="133"/>
      <c r="GP969" s="133"/>
      <c r="GQ969" s="133"/>
      <c r="GR969" s="133"/>
      <c r="GS969" s="133"/>
      <c r="GT969" s="133"/>
      <c r="GU969" s="133"/>
      <c r="GV969" s="133"/>
      <c r="GW969" s="133"/>
      <c r="GX969" s="133"/>
      <c r="GY969" s="133"/>
      <c r="GZ969" s="133"/>
      <c r="HA969" s="133"/>
      <c r="HB969" s="133"/>
      <c r="HC969" s="133"/>
      <c r="HD969" s="133"/>
      <c r="HE969" s="133"/>
      <c r="HF969" s="133"/>
      <c r="HG969" s="133"/>
      <c r="HH969" s="133"/>
      <c r="HI969" s="133"/>
      <c r="HJ969" s="133"/>
      <c r="HK969" s="133"/>
      <c r="HL969" s="133"/>
      <c r="HM969" s="133"/>
      <c r="HN969" s="133"/>
      <c r="HO969" s="133"/>
      <c r="HP969" s="133"/>
      <c r="HQ969" s="133"/>
      <c r="HR969" s="133"/>
      <c r="HS969" s="133"/>
      <c r="HT969" s="133"/>
      <c r="HU969" s="133"/>
      <c r="HV969" s="133"/>
      <c r="HW969" s="133"/>
      <c r="HX969" s="133"/>
      <c r="HY969" s="133"/>
      <c r="HZ969" s="133"/>
      <c r="IA969" s="133"/>
      <c r="IB969" s="133"/>
      <c r="IC969" s="133"/>
      <c r="ID969" s="133"/>
      <c r="IE969" s="133"/>
      <c r="IF969" s="133"/>
      <c r="IG969" s="133"/>
      <c r="IH969" s="133"/>
      <c r="II969" s="133"/>
      <c r="IJ969" s="133"/>
      <c r="IK969" s="133"/>
      <c r="IL969" s="133"/>
      <c r="IM969" s="133"/>
      <c r="IN969" s="133"/>
      <c r="IO969" s="133"/>
      <c r="IP969" s="133"/>
      <c r="IQ969" s="133"/>
      <c r="IR969" s="133"/>
      <c r="IS969" s="133"/>
      <c r="IT969" s="133"/>
      <c r="IU969" s="133"/>
      <c r="IV969" s="133"/>
    </row>
    <row r="970" spans="1:256" s="132" customFormat="1" ht="13.8">
      <c r="A970" s="133"/>
      <c r="B970" s="133"/>
      <c r="C970" s="133"/>
      <c r="D970" s="133"/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GE970" s="133"/>
      <c r="GF970" s="133"/>
      <c r="GG970" s="133"/>
      <c r="GH970" s="133"/>
      <c r="GI970" s="133"/>
      <c r="GJ970" s="133"/>
      <c r="GK970" s="133"/>
      <c r="GL970" s="133"/>
      <c r="GM970" s="133"/>
      <c r="GN970" s="133"/>
      <c r="GO970" s="133"/>
      <c r="GP970" s="133"/>
      <c r="GQ970" s="133"/>
      <c r="GR970" s="133"/>
      <c r="GS970" s="133"/>
      <c r="GT970" s="133"/>
      <c r="GU970" s="133"/>
      <c r="GV970" s="133"/>
      <c r="GW970" s="133"/>
      <c r="GX970" s="133"/>
      <c r="GY970" s="133"/>
      <c r="GZ970" s="133"/>
      <c r="HA970" s="133"/>
      <c r="HB970" s="133"/>
      <c r="HC970" s="133"/>
      <c r="HD970" s="133"/>
      <c r="HE970" s="133"/>
      <c r="HF970" s="133"/>
      <c r="HG970" s="133"/>
      <c r="HH970" s="133"/>
      <c r="HI970" s="133"/>
      <c r="HJ970" s="133"/>
      <c r="HK970" s="133"/>
      <c r="HL970" s="133"/>
      <c r="HM970" s="133"/>
      <c r="HN970" s="133"/>
      <c r="HO970" s="133"/>
      <c r="HP970" s="133"/>
      <c r="HQ970" s="133"/>
      <c r="HR970" s="133"/>
      <c r="HS970" s="133"/>
      <c r="HT970" s="133"/>
      <c r="HU970" s="133"/>
      <c r="HV970" s="133"/>
      <c r="HW970" s="133"/>
      <c r="HX970" s="133"/>
      <c r="HY970" s="133"/>
      <c r="HZ970" s="133"/>
      <c r="IA970" s="133"/>
      <c r="IB970" s="133"/>
      <c r="IC970" s="133"/>
      <c r="ID970" s="133"/>
      <c r="IE970" s="133"/>
      <c r="IF970" s="133"/>
      <c r="IG970" s="133"/>
      <c r="IH970" s="133"/>
      <c r="II970" s="133"/>
      <c r="IJ970" s="133"/>
      <c r="IK970" s="133"/>
      <c r="IL970" s="133"/>
      <c r="IM970" s="133"/>
      <c r="IN970" s="133"/>
      <c r="IO970" s="133"/>
      <c r="IP970" s="133"/>
      <c r="IQ970" s="133"/>
      <c r="IR970" s="133"/>
      <c r="IS970" s="133"/>
      <c r="IT970" s="133"/>
      <c r="IU970" s="133"/>
      <c r="IV970" s="133"/>
    </row>
    <row r="971" spans="1:256" s="132" customFormat="1" ht="13.8">
      <c r="A971" s="133"/>
      <c r="B971" s="133"/>
      <c r="C971" s="133"/>
      <c r="D971" s="133"/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GE971" s="133"/>
      <c r="GF971" s="133"/>
      <c r="GG971" s="133"/>
      <c r="GH971" s="133"/>
      <c r="GI971" s="133"/>
      <c r="GJ971" s="133"/>
      <c r="GK971" s="133"/>
      <c r="GL971" s="133"/>
      <c r="GM971" s="133"/>
      <c r="GN971" s="133"/>
      <c r="GO971" s="133"/>
      <c r="GP971" s="133"/>
      <c r="GQ971" s="133"/>
      <c r="GR971" s="133"/>
      <c r="GS971" s="133"/>
      <c r="GT971" s="133"/>
      <c r="GU971" s="133"/>
      <c r="GV971" s="133"/>
      <c r="GW971" s="133"/>
      <c r="GX971" s="133"/>
      <c r="GY971" s="133"/>
      <c r="GZ971" s="133"/>
      <c r="HA971" s="133"/>
      <c r="HB971" s="133"/>
      <c r="HC971" s="133"/>
      <c r="HD971" s="133"/>
      <c r="HE971" s="133"/>
      <c r="HF971" s="133"/>
      <c r="HG971" s="133"/>
      <c r="HH971" s="133"/>
      <c r="HI971" s="133"/>
      <c r="HJ971" s="133"/>
      <c r="HK971" s="133"/>
      <c r="HL971" s="133"/>
      <c r="HM971" s="133"/>
      <c r="HN971" s="133"/>
      <c r="HO971" s="133"/>
      <c r="HP971" s="133"/>
      <c r="HQ971" s="133"/>
      <c r="HR971" s="133"/>
      <c r="HS971" s="133"/>
      <c r="HT971" s="133"/>
      <c r="HU971" s="133"/>
      <c r="HV971" s="133"/>
      <c r="HW971" s="133"/>
      <c r="HX971" s="133"/>
      <c r="HY971" s="133"/>
      <c r="HZ971" s="133"/>
      <c r="IA971" s="133"/>
      <c r="IB971" s="133"/>
      <c r="IC971" s="133"/>
      <c r="ID971" s="133"/>
      <c r="IE971" s="133"/>
      <c r="IF971" s="133"/>
      <c r="IG971" s="133"/>
      <c r="IH971" s="133"/>
      <c r="II971" s="133"/>
      <c r="IJ971" s="133"/>
      <c r="IK971" s="133"/>
      <c r="IL971" s="133"/>
      <c r="IM971" s="133"/>
      <c r="IN971" s="133"/>
      <c r="IO971" s="133"/>
      <c r="IP971" s="133"/>
      <c r="IQ971" s="133"/>
      <c r="IR971" s="133"/>
      <c r="IS971" s="133"/>
      <c r="IT971" s="133"/>
      <c r="IU971" s="133"/>
      <c r="IV971" s="133"/>
    </row>
    <row r="972" spans="1:256" s="132" customFormat="1" ht="13.8">
      <c r="A972" s="133"/>
      <c r="B972" s="133"/>
      <c r="C972" s="133"/>
      <c r="D972" s="133"/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GE972" s="133"/>
      <c r="GF972" s="133"/>
      <c r="GG972" s="133"/>
      <c r="GH972" s="133"/>
      <c r="GI972" s="133"/>
      <c r="GJ972" s="133"/>
      <c r="GK972" s="133"/>
      <c r="GL972" s="133"/>
      <c r="GM972" s="133"/>
      <c r="GN972" s="133"/>
      <c r="GO972" s="133"/>
      <c r="GP972" s="133"/>
      <c r="GQ972" s="133"/>
      <c r="GR972" s="133"/>
      <c r="GS972" s="133"/>
      <c r="GT972" s="133"/>
      <c r="GU972" s="133"/>
      <c r="GV972" s="133"/>
      <c r="GW972" s="133"/>
      <c r="GX972" s="133"/>
      <c r="GY972" s="133"/>
      <c r="GZ972" s="133"/>
      <c r="HA972" s="133"/>
      <c r="HB972" s="133"/>
      <c r="HC972" s="133"/>
      <c r="HD972" s="133"/>
      <c r="HE972" s="133"/>
      <c r="HF972" s="133"/>
      <c r="HG972" s="133"/>
      <c r="HH972" s="133"/>
      <c r="HI972" s="133"/>
      <c r="HJ972" s="133"/>
      <c r="HK972" s="133"/>
      <c r="HL972" s="133"/>
      <c r="HM972" s="133"/>
      <c r="HN972" s="133"/>
      <c r="HO972" s="133"/>
      <c r="HP972" s="133"/>
      <c r="HQ972" s="133"/>
      <c r="HR972" s="133"/>
      <c r="HS972" s="133"/>
      <c r="HT972" s="133"/>
      <c r="HU972" s="133"/>
      <c r="HV972" s="133"/>
      <c r="HW972" s="133"/>
      <c r="HX972" s="133"/>
      <c r="HY972" s="133"/>
      <c r="HZ972" s="133"/>
      <c r="IA972" s="133"/>
      <c r="IB972" s="133"/>
      <c r="IC972" s="133"/>
      <c r="ID972" s="133"/>
      <c r="IE972" s="133"/>
      <c r="IF972" s="133"/>
      <c r="IG972" s="133"/>
      <c r="IH972" s="133"/>
      <c r="II972" s="133"/>
      <c r="IJ972" s="133"/>
      <c r="IK972" s="133"/>
      <c r="IL972" s="133"/>
      <c r="IM972" s="133"/>
      <c r="IN972" s="133"/>
      <c r="IO972" s="133"/>
      <c r="IP972" s="133"/>
      <c r="IQ972" s="133"/>
      <c r="IR972" s="133"/>
      <c r="IS972" s="133"/>
      <c r="IT972" s="133"/>
      <c r="IU972" s="133"/>
      <c r="IV972" s="133"/>
    </row>
    <row r="973" spans="1:256" s="132" customFormat="1" ht="13.8">
      <c r="A973" s="133"/>
      <c r="B973" s="133"/>
      <c r="C973" s="133"/>
      <c r="D973" s="133"/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GE973" s="133"/>
      <c r="GF973" s="133"/>
      <c r="GG973" s="133"/>
      <c r="GH973" s="133"/>
      <c r="GI973" s="133"/>
      <c r="GJ973" s="133"/>
      <c r="GK973" s="133"/>
      <c r="GL973" s="133"/>
      <c r="GM973" s="133"/>
      <c r="GN973" s="133"/>
      <c r="GO973" s="133"/>
      <c r="GP973" s="133"/>
      <c r="GQ973" s="133"/>
      <c r="GR973" s="133"/>
      <c r="GS973" s="133"/>
      <c r="GT973" s="133"/>
      <c r="GU973" s="133"/>
      <c r="GV973" s="133"/>
      <c r="GW973" s="133"/>
      <c r="GX973" s="133"/>
      <c r="GY973" s="133"/>
      <c r="GZ973" s="133"/>
      <c r="HA973" s="133"/>
      <c r="HB973" s="133"/>
      <c r="HC973" s="133"/>
      <c r="HD973" s="133"/>
      <c r="HE973" s="133"/>
      <c r="HF973" s="133"/>
      <c r="HG973" s="133"/>
      <c r="HH973" s="133"/>
      <c r="HI973" s="133"/>
      <c r="HJ973" s="133"/>
      <c r="HK973" s="133"/>
      <c r="HL973" s="133"/>
      <c r="HM973" s="133"/>
      <c r="HN973" s="133"/>
      <c r="HO973" s="133"/>
      <c r="HP973" s="133"/>
      <c r="HQ973" s="133"/>
      <c r="HR973" s="133"/>
      <c r="HS973" s="133"/>
      <c r="HT973" s="133"/>
      <c r="HU973" s="133"/>
      <c r="HV973" s="133"/>
      <c r="HW973" s="133"/>
      <c r="HX973" s="133"/>
      <c r="HY973" s="133"/>
      <c r="HZ973" s="133"/>
      <c r="IA973" s="133"/>
      <c r="IB973" s="133"/>
      <c r="IC973" s="133"/>
      <c r="ID973" s="133"/>
      <c r="IE973" s="133"/>
      <c r="IF973" s="133"/>
      <c r="IG973" s="133"/>
      <c r="IH973" s="133"/>
      <c r="II973" s="133"/>
      <c r="IJ973" s="133"/>
      <c r="IK973" s="133"/>
      <c r="IL973" s="133"/>
      <c r="IM973" s="133"/>
      <c r="IN973" s="133"/>
      <c r="IO973" s="133"/>
      <c r="IP973" s="133"/>
      <c r="IQ973" s="133"/>
      <c r="IR973" s="133"/>
      <c r="IS973" s="133"/>
      <c r="IT973" s="133"/>
      <c r="IU973" s="133"/>
      <c r="IV973" s="133"/>
    </row>
    <row r="974" spans="1:256" s="132" customFormat="1" ht="13.8">
      <c r="A974" s="133"/>
      <c r="B974" s="133"/>
      <c r="C974" s="133"/>
      <c r="D974" s="133"/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GE974" s="133"/>
      <c r="GF974" s="133"/>
      <c r="GG974" s="133"/>
      <c r="GH974" s="133"/>
      <c r="GI974" s="133"/>
      <c r="GJ974" s="133"/>
      <c r="GK974" s="133"/>
      <c r="GL974" s="133"/>
      <c r="GM974" s="133"/>
      <c r="GN974" s="133"/>
      <c r="GO974" s="133"/>
      <c r="GP974" s="133"/>
      <c r="GQ974" s="133"/>
      <c r="GR974" s="133"/>
      <c r="GS974" s="133"/>
      <c r="GT974" s="133"/>
      <c r="GU974" s="133"/>
      <c r="GV974" s="133"/>
      <c r="GW974" s="133"/>
      <c r="GX974" s="133"/>
      <c r="GY974" s="133"/>
      <c r="GZ974" s="133"/>
      <c r="HA974" s="133"/>
      <c r="HB974" s="133"/>
      <c r="HC974" s="133"/>
      <c r="HD974" s="133"/>
      <c r="HE974" s="133"/>
      <c r="HF974" s="133"/>
      <c r="HG974" s="133"/>
      <c r="HH974" s="133"/>
      <c r="HI974" s="133"/>
      <c r="HJ974" s="133"/>
      <c r="HK974" s="133"/>
      <c r="HL974" s="133"/>
      <c r="HM974" s="133"/>
      <c r="HN974" s="133"/>
      <c r="HO974" s="133"/>
      <c r="HP974" s="133"/>
      <c r="HQ974" s="133"/>
      <c r="HR974" s="133"/>
      <c r="HS974" s="133"/>
      <c r="HT974" s="133"/>
      <c r="HU974" s="133"/>
      <c r="HV974" s="133"/>
      <c r="HW974" s="133"/>
      <c r="HX974" s="133"/>
      <c r="HY974" s="133"/>
      <c r="HZ974" s="133"/>
      <c r="IA974" s="133"/>
      <c r="IB974" s="133"/>
      <c r="IC974" s="133"/>
      <c r="ID974" s="133"/>
      <c r="IE974" s="133"/>
      <c r="IF974" s="133"/>
      <c r="IG974" s="133"/>
      <c r="IH974" s="133"/>
      <c r="II974" s="133"/>
      <c r="IJ974" s="133"/>
      <c r="IK974" s="133"/>
      <c r="IL974" s="133"/>
      <c r="IM974" s="133"/>
      <c r="IN974" s="133"/>
      <c r="IO974" s="133"/>
      <c r="IP974" s="133"/>
      <c r="IQ974" s="133"/>
      <c r="IR974" s="133"/>
      <c r="IS974" s="133"/>
      <c r="IT974" s="133"/>
      <c r="IU974" s="133"/>
      <c r="IV974" s="133"/>
    </row>
    <row r="975" spans="1:256" s="132" customFormat="1" ht="13.8">
      <c r="A975" s="133"/>
      <c r="B975" s="133"/>
      <c r="C975" s="133"/>
      <c r="D975" s="133"/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GE975" s="133"/>
      <c r="GF975" s="133"/>
      <c r="GG975" s="133"/>
      <c r="GH975" s="133"/>
      <c r="GI975" s="133"/>
      <c r="GJ975" s="133"/>
      <c r="GK975" s="133"/>
      <c r="GL975" s="133"/>
      <c r="GM975" s="133"/>
      <c r="GN975" s="133"/>
      <c r="GO975" s="133"/>
      <c r="GP975" s="133"/>
      <c r="GQ975" s="133"/>
      <c r="GR975" s="133"/>
      <c r="GS975" s="133"/>
      <c r="GT975" s="133"/>
      <c r="GU975" s="133"/>
      <c r="GV975" s="133"/>
      <c r="GW975" s="133"/>
      <c r="GX975" s="133"/>
      <c r="GY975" s="133"/>
      <c r="GZ975" s="133"/>
      <c r="HA975" s="133"/>
      <c r="HB975" s="133"/>
      <c r="HC975" s="133"/>
      <c r="HD975" s="133"/>
      <c r="HE975" s="133"/>
      <c r="HF975" s="133"/>
      <c r="HG975" s="133"/>
      <c r="HH975" s="133"/>
      <c r="HI975" s="133"/>
      <c r="HJ975" s="133"/>
      <c r="HK975" s="133"/>
      <c r="HL975" s="133"/>
      <c r="HM975" s="133"/>
      <c r="HN975" s="133"/>
      <c r="HO975" s="133"/>
      <c r="HP975" s="133"/>
      <c r="HQ975" s="133"/>
      <c r="HR975" s="133"/>
      <c r="HS975" s="133"/>
      <c r="HT975" s="133"/>
      <c r="HU975" s="133"/>
      <c r="HV975" s="133"/>
      <c r="HW975" s="133"/>
      <c r="HX975" s="133"/>
      <c r="HY975" s="133"/>
      <c r="HZ975" s="133"/>
      <c r="IA975" s="133"/>
      <c r="IB975" s="133"/>
      <c r="IC975" s="133"/>
      <c r="ID975" s="133"/>
      <c r="IE975" s="133"/>
      <c r="IF975" s="133"/>
      <c r="IG975" s="133"/>
      <c r="IH975" s="133"/>
      <c r="II975" s="133"/>
      <c r="IJ975" s="133"/>
      <c r="IK975" s="133"/>
      <c r="IL975" s="133"/>
      <c r="IM975" s="133"/>
      <c r="IN975" s="133"/>
      <c r="IO975" s="133"/>
      <c r="IP975" s="133"/>
      <c r="IQ975" s="133"/>
      <c r="IR975" s="133"/>
      <c r="IS975" s="133"/>
      <c r="IT975" s="133"/>
      <c r="IU975" s="133"/>
      <c r="IV975" s="133"/>
    </row>
    <row r="976" spans="1:256" s="132" customFormat="1" ht="13.8">
      <c r="A976" s="133"/>
      <c r="B976" s="133"/>
      <c r="C976" s="133"/>
      <c r="D976" s="133"/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GE976" s="133"/>
      <c r="GF976" s="133"/>
      <c r="GG976" s="133"/>
      <c r="GH976" s="133"/>
      <c r="GI976" s="133"/>
      <c r="GJ976" s="133"/>
      <c r="GK976" s="133"/>
      <c r="GL976" s="133"/>
      <c r="GM976" s="133"/>
      <c r="GN976" s="133"/>
      <c r="GO976" s="133"/>
      <c r="GP976" s="133"/>
      <c r="GQ976" s="133"/>
      <c r="GR976" s="133"/>
      <c r="GS976" s="133"/>
      <c r="GT976" s="133"/>
      <c r="GU976" s="133"/>
      <c r="GV976" s="133"/>
      <c r="GW976" s="133"/>
      <c r="GX976" s="133"/>
      <c r="GY976" s="133"/>
      <c r="GZ976" s="133"/>
      <c r="HA976" s="133"/>
      <c r="HB976" s="133"/>
      <c r="HC976" s="133"/>
      <c r="HD976" s="133"/>
      <c r="HE976" s="133"/>
      <c r="HF976" s="133"/>
      <c r="HG976" s="133"/>
      <c r="HH976" s="133"/>
      <c r="HI976" s="133"/>
      <c r="HJ976" s="133"/>
      <c r="HK976" s="133"/>
      <c r="HL976" s="133"/>
      <c r="HM976" s="133"/>
      <c r="HN976" s="133"/>
      <c r="HO976" s="133"/>
      <c r="HP976" s="133"/>
      <c r="HQ976" s="133"/>
      <c r="HR976" s="133"/>
      <c r="HS976" s="133"/>
      <c r="HT976" s="133"/>
      <c r="HU976" s="133"/>
      <c r="HV976" s="133"/>
      <c r="HW976" s="133"/>
      <c r="HX976" s="133"/>
      <c r="HY976" s="133"/>
      <c r="HZ976" s="133"/>
      <c r="IA976" s="133"/>
      <c r="IB976" s="133"/>
      <c r="IC976" s="133"/>
      <c r="ID976" s="133"/>
      <c r="IE976" s="133"/>
      <c r="IF976" s="133"/>
      <c r="IG976" s="133"/>
      <c r="IH976" s="133"/>
      <c r="II976" s="133"/>
      <c r="IJ976" s="133"/>
      <c r="IK976" s="133"/>
      <c r="IL976" s="133"/>
      <c r="IM976" s="133"/>
      <c r="IN976" s="133"/>
      <c r="IO976" s="133"/>
      <c r="IP976" s="133"/>
      <c r="IQ976" s="133"/>
      <c r="IR976" s="133"/>
      <c r="IS976" s="133"/>
      <c r="IT976" s="133"/>
      <c r="IU976" s="133"/>
      <c r="IV976" s="133"/>
    </row>
    <row r="977" spans="1:256" s="132" customFormat="1" ht="13.8">
      <c r="A977" s="133"/>
      <c r="B977" s="133"/>
      <c r="C977" s="133"/>
      <c r="D977" s="133"/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GE977" s="133"/>
      <c r="GF977" s="133"/>
      <c r="GG977" s="133"/>
      <c r="GH977" s="133"/>
      <c r="GI977" s="133"/>
      <c r="GJ977" s="133"/>
      <c r="GK977" s="133"/>
      <c r="GL977" s="133"/>
      <c r="GM977" s="133"/>
      <c r="GN977" s="133"/>
      <c r="GO977" s="133"/>
      <c r="GP977" s="133"/>
      <c r="GQ977" s="133"/>
      <c r="GR977" s="133"/>
      <c r="GS977" s="133"/>
      <c r="GT977" s="133"/>
      <c r="GU977" s="133"/>
      <c r="GV977" s="133"/>
      <c r="GW977" s="133"/>
      <c r="GX977" s="133"/>
      <c r="GY977" s="133"/>
      <c r="GZ977" s="133"/>
      <c r="HA977" s="133"/>
      <c r="HB977" s="133"/>
      <c r="HC977" s="133"/>
      <c r="HD977" s="133"/>
      <c r="HE977" s="133"/>
      <c r="HF977" s="133"/>
      <c r="HG977" s="133"/>
      <c r="HH977" s="133"/>
      <c r="HI977" s="133"/>
      <c r="HJ977" s="133"/>
      <c r="HK977" s="133"/>
      <c r="HL977" s="133"/>
      <c r="HM977" s="133"/>
      <c r="HN977" s="133"/>
      <c r="HO977" s="133"/>
      <c r="HP977" s="133"/>
      <c r="HQ977" s="133"/>
      <c r="HR977" s="133"/>
      <c r="HS977" s="133"/>
      <c r="HT977" s="133"/>
      <c r="HU977" s="133"/>
      <c r="HV977" s="133"/>
      <c r="HW977" s="133"/>
      <c r="HX977" s="133"/>
      <c r="HY977" s="133"/>
      <c r="HZ977" s="133"/>
      <c r="IA977" s="133"/>
      <c r="IB977" s="133"/>
      <c r="IC977" s="133"/>
      <c r="ID977" s="133"/>
      <c r="IE977" s="133"/>
      <c r="IF977" s="133"/>
      <c r="IG977" s="133"/>
      <c r="IH977" s="133"/>
      <c r="II977" s="133"/>
      <c r="IJ977" s="133"/>
      <c r="IK977" s="133"/>
      <c r="IL977" s="133"/>
      <c r="IM977" s="133"/>
      <c r="IN977" s="133"/>
      <c r="IO977" s="133"/>
      <c r="IP977" s="133"/>
      <c r="IQ977" s="133"/>
      <c r="IR977" s="133"/>
      <c r="IS977" s="133"/>
      <c r="IT977" s="133"/>
      <c r="IU977" s="133"/>
      <c r="IV977" s="133"/>
    </row>
    <row r="978" spans="1:256" s="132" customFormat="1" ht="13.8">
      <c r="A978" s="133"/>
      <c r="B978" s="133"/>
      <c r="C978" s="133"/>
      <c r="D978" s="133"/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GE978" s="133"/>
      <c r="GF978" s="133"/>
      <c r="GG978" s="133"/>
      <c r="GH978" s="133"/>
      <c r="GI978" s="133"/>
      <c r="GJ978" s="133"/>
      <c r="GK978" s="133"/>
      <c r="GL978" s="133"/>
      <c r="GM978" s="133"/>
      <c r="GN978" s="133"/>
      <c r="GO978" s="133"/>
      <c r="GP978" s="133"/>
      <c r="GQ978" s="133"/>
      <c r="GR978" s="133"/>
      <c r="GS978" s="133"/>
      <c r="GT978" s="133"/>
      <c r="GU978" s="133"/>
      <c r="GV978" s="133"/>
      <c r="GW978" s="133"/>
      <c r="GX978" s="133"/>
      <c r="GY978" s="133"/>
      <c r="GZ978" s="133"/>
      <c r="HA978" s="133"/>
      <c r="HB978" s="133"/>
      <c r="HC978" s="133"/>
      <c r="HD978" s="133"/>
      <c r="HE978" s="133"/>
      <c r="HF978" s="133"/>
      <c r="HG978" s="133"/>
      <c r="HH978" s="133"/>
      <c r="HI978" s="133"/>
      <c r="HJ978" s="133"/>
      <c r="HK978" s="133"/>
      <c r="HL978" s="133"/>
      <c r="HM978" s="133"/>
      <c r="HN978" s="133"/>
      <c r="HO978" s="133"/>
      <c r="HP978" s="133"/>
      <c r="HQ978" s="133"/>
      <c r="HR978" s="133"/>
      <c r="HS978" s="133"/>
      <c r="HT978" s="133"/>
      <c r="HU978" s="133"/>
      <c r="HV978" s="133"/>
      <c r="HW978" s="133"/>
      <c r="HX978" s="133"/>
      <c r="HY978" s="133"/>
      <c r="HZ978" s="133"/>
      <c r="IA978" s="133"/>
      <c r="IB978" s="133"/>
      <c r="IC978" s="133"/>
      <c r="ID978" s="133"/>
      <c r="IE978" s="133"/>
      <c r="IF978" s="133"/>
      <c r="IG978" s="133"/>
      <c r="IH978" s="133"/>
      <c r="II978" s="133"/>
      <c r="IJ978" s="133"/>
      <c r="IK978" s="133"/>
      <c r="IL978" s="133"/>
      <c r="IM978" s="133"/>
      <c r="IN978" s="133"/>
      <c r="IO978" s="133"/>
      <c r="IP978" s="133"/>
      <c r="IQ978" s="133"/>
      <c r="IR978" s="133"/>
      <c r="IS978" s="133"/>
      <c r="IT978" s="133"/>
      <c r="IU978" s="133"/>
      <c r="IV978" s="133"/>
    </row>
    <row r="979" spans="1:256" s="132" customFormat="1" ht="13.8">
      <c r="A979" s="133"/>
      <c r="B979" s="133"/>
      <c r="C979" s="133"/>
      <c r="D979" s="133"/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GE979" s="133"/>
      <c r="GF979" s="133"/>
      <c r="GG979" s="133"/>
      <c r="GH979" s="133"/>
      <c r="GI979" s="133"/>
      <c r="GJ979" s="133"/>
      <c r="GK979" s="133"/>
      <c r="GL979" s="133"/>
      <c r="GM979" s="133"/>
      <c r="GN979" s="133"/>
      <c r="GO979" s="133"/>
      <c r="GP979" s="133"/>
      <c r="GQ979" s="133"/>
      <c r="GR979" s="133"/>
      <c r="GS979" s="133"/>
      <c r="GT979" s="133"/>
      <c r="GU979" s="133"/>
      <c r="GV979" s="133"/>
      <c r="GW979" s="133"/>
      <c r="GX979" s="133"/>
      <c r="GY979" s="133"/>
      <c r="GZ979" s="133"/>
      <c r="HA979" s="133"/>
      <c r="HB979" s="133"/>
      <c r="HC979" s="133"/>
      <c r="HD979" s="133"/>
      <c r="HE979" s="133"/>
      <c r="HF979" s="133"/>
      <c r="HG979" s="133"/>
      <c r="HH979" s="133"/>
      <c r="HI979" s="133"/>
      <c r="HJ979" s="133"/>
      <c r="HK979" s="133"/>
      <c r="HL979" s="133"/>
      <c r="HM979" s="133"/>
      <c r="HN979" s="133"/>
      <c r="HO979" s="133"/>
      <c r="HP979" s="133"/>
      <c r="HQ979" s="133"/>
      <c r="HR979" s="133"/>
      <c r="HS979" s="133"/>
      <c r="HT979" s="133"/>
      <c r="HU979" s="133"/>
      <c r="HV979" s="133"/>
      <c r="HW979" s="133"/>
      <c r="HX979" s="133"/>
      <c r="HY979" s="133"/>
      <c r="HZ979" s="133"/>
      <c r="IA979" s="133"/>
      <c r="IB979" s="133"/>
      <c r="IC979" s="133"/>
      <c r="ID979" s="133"/>
      <c r="IE979" s="133"/>
      <c r="IF979" s="133"/>
      <c r="IG979" s="133"/>
      <c r="IH979" s="133"/>
      <c r="II979" s="133"/>
      <c r="IJ979" s="133"/>
      <c r="IK979" s="133"/>
      <c r="IL979" s="133"/>
      <c r="IM979" s="133"/>
      <c r="IN979" s="133"/>
      <c r="IO979" s="133"/>
      <c r="IP979" s="133"/>
      <c r="IQ979" s="133"/>
      <c r="IR979" s="133"/>
      <c r="IS979" s="133"/>
      <c r="IT979" s="133"/>
      <c r="IU979" s="133"/>
      <c r="IV979" s="133"/>
    </row>
    <row r="980" spans="1:256" s="132" customFormat="1" ht="13.8">
      <c r="A980" s="133"/>
      <c r="B980" s="133"/>
      <c r="C980" s="133"/>
      <c r="D980" s="133"/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GE980" s="133"/>
      <c r="GF980" s="133"/>
      <c r="GG980" s="133"/>
      <c r="GH980" s="133"/>
      <c r="GI980" s="133"/>
      <c r="GJ980" s="133"/>
      <c r="GK980" s="133"/>
      <c r="GL980" s="133"/>
      <c r="GM980" s="133"/>
      <c r="GN980" s="133"/>
      <c r="GO980" s="133"/>
      <c r="GP980" s="133"/>
      <c r="GQ980" s="133"/>
      <c r="GR980" s="133"/>
      <c r="GS980" s="133"/>
      <c r="GT980" s="133"/>
      <c r="GU980" s="133"/>
      <c r="GV980" s="133"/>
      <c r="GW980" s="133"/>
      <c r="GX980" s="133"/>
      <c r="GY980" s="133"/>
      <c r="GZ980" s="133"/>
      <c r="HA980" s="133"/>
      <c r="HB980" s="133"/>
      <c r="HC980" s="133"/>
      <c r="HD980" s="133"/>
      <c r="HE980" s="133"/>
      <c r="HF980" s="133"/>
      <c r="HG980" s="133"/>
      <c r="HH980" s="133"/>
      <c r="HI980" s="133"/>
      <c r="HJ980" s="133"/>
      <c r="HK980" s="133"/>
      <c r="HL980" s="133"/>
      <c r="HM980" s="133"/>
      <c r="HN980" s="133"/>
      <c r="HO980" s="133"/>
      <c r="HP980" s="133"/>
      <c r="HQ980" s="133"/>
      <c r="HR980" s="133"/>
      <c r="HS980" s="133"/>
      <c r="HT980" s="133"/>
      <c r="HU980" s="133"/>
      <c r="HV980" s="133"/>
      <c r="HW980" s="133"/>
      <c r="HX980" s="133"/>
      <c r="HY980" s="133"/>
      <c r="HZ980" s="133"/>
      <c r="IA980" s="133"/>
      <c r="IB980" s="133"/>
      <c r="IC980" s="133"/>
      <c r="ID980" s="133"/>
      <c r="IE980" s="133"/>
      <c r="IF980" s="133"/>
      <c r="IG980" s="133"/>
      <c r="IH980" s="133"/>
      <c r="II980" s="133"/>
      <c r="IJ980" s="133"/>
      <c r="IK980" s="133"/>
      <c r="IL980" s="133"/>
      <c r="IM980" s="133"/>
      <c r="IN980" s="133"/>
      <c r="IO980" s="133"/>
      <c r="IP980" s="133"/>
      <c r="IQ980" s="133"/>
      <c r="IR980" s="133"/>
      <c r="IS980" s="133"/>
      <c r="IT980" s="133"/>
      <c r="IU980" s="133"/>
      <c r="IV980" s="133"/>
    </row>
    <row r="981" spans="1:256" s="132" customFormat="1" ht="13.8">
      <c r="A981" s="133"/>
      <c r="B981" s="133"/>
      <c r="C981" s="133"/>
      <c r="D981" s="133"/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GE981" s="133"/>
      <c r="GF981" s="133"/>
      <c r="GG981" s="133"/>
      <c r="GH981" s="133"/>
      <c r="GI981" s="133"/>
      <c r="GJ981" s="133"/>
      <c r="GK981" s="133"/>
      <c r="GL981" s="133"/>
      <c r="GM981" s="133"/>
      <c r="GN981" s="133"/>
      <c r="GO981" s="133"/>
      <c r="GP981" s="133"/>
      <c r="GQ981" s="133"/>
      <c r="GR981" s="133"/>
      <c r="GS981" s="133"/>
      <c r="GT981" s="133"/>
      <c r="GU981" s="133"/>
      <c r="GV981" s="133"/>
      <c r="GW981" s="133"/>
      <c r="GX981" s="133"/>
      <c r="GY981" s="133"/>
      <c r="GZ981" s="133"/>
      <c r="HA981" s="133"/>
      <c r="HB981" s="133"/>
      <c r="HC981" s="133"/>
      <c r="HD981" s="133"/>
      <c r="HE981" s="133"/>
      <c r="HF981" s="133"/>
      <c r="HG981" s="133"/>
      <c r="HH981" s="133"/>
      <c r="HI981" s="133"/>
      <c r="HJ981" s="133"/>
      <c r="HK981" s="133"/>
      <c r="HL981" s="133"/>
      <c r="HM981" s="133"/>
      <c r="HN981" s="133"/>
      <c r="HO981" s="133"/>
      <c r="HP981" s="133"/>
      <c r="HQ981" s="133"/>
      <c r="HR981" s="133"/>
      <c r="HS981" s="133"/>
      <c r="HT981" s="133"/>
      <c r="HU981" s="133"/>
      <c r="HV981" s="133"/>
      <c r="HW981" s="133"/>
      <c r="HX981" s="133"/>
      <c r="HY981" s="133"/>
      <c r="HZ981" s="133"/>
      <c r="IA981" s="133"/>
      <c r="IB981" s="133"/>
      <c r="IC981" s="133"/>
      <c r="ID981" s="133"/>
      <c r="IE981" s="133"/>
      <c r="IF981" s="133"/>
      <c r="IG981" s="133"/>
      <c r="IH981" s="133"/>
      <c r="II981" s="133"/>
      <c r="IJ981" s="133"/>
      <c r="IK981" s="133"/>
      <c r="IL981" s="133"/>
      <c r="IM981" s="133"/>
      <c r="IN981" s="133"/>
      <c r="IO981" s="133"/>
      <c r="IP981" s="133"/>
      <c r="IQ981" s="133"/>
      <c r="IR981" s="133"/>
      <c r="IS981" s="133"/>
      <c r="IT981" s="133"/>
      <c r="IU981" s="133"/>
      <c r="IV981" s="133"/>
    </row>
    <row r="982" spans="1:256" s="132" customFormat="1" ht="13.8">
      <c r="A982" s="133"/>
      <c r="B982" s="133"/>
      <c r="C982" s="133"/>
      <c r="D982" s="133"/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GE982" s="133"/>
      <c r="GF982" s="133"/>
      <c r="GG982" s="133"/>
      <c r="GH982" s="133"/>
      <c r="GI982" s="133"/>
      <c r="GJ982" s="133"/>
      <c r="GK982" s="133"/>
      <c r="GL982" s="133"/>
      <c r="GM982" s="133"/>
      <c r="GN982" s="133"/>
      <c r="GO982" s="133"/>
      <c r="GP982" s="133"/>
      <c r="GQ982" s="133"/>
      <c r="GR982" s="133"/>
      <c r="GS982" s="133"/>
      <c r="GT982" s="133"/>
      <c r="GU982" s="133"/>
      <c r="GV982" s="133"/>
      <c r="GW982" s="133"/>
      <c r="GX982" s="133"/>
      <c r="GY982" s="133"/>
      <c r="GZ982" s="133"/>
      <c r="HA982" s="133"/>
      <c r="HB982" s="133"/>
      <c r="HC982" s="133"/>
      <c r="HD982" s="133"/>
      <c r="HE982" s="133"/>
      <c r="HF982" s="133"/>
      <c r="HG982" s="133"/>
      <c r="HH982" s="133"/>
      <c r="HI982" s="133"/>
      <c r="HJ982" s="133"/>
      <c r="HK982" s="133"/>
      <c r="HL982" s="133"/>
      <c r="HM982" s="133"/>
      <c r="HN982" s="133"/>
      <c r="HO982" s="133"/>
      <c r="HP982" s="133"/>
      <c r="HQ982" s="133"/>
      <c r="HR982" s="133"/>
      <c r="HS982" s="133"/>
      <c r="HT982" s="133"/>
      <c r="HU982" s="133"/>
      <c r="HV982" s="133"/>
      <c r="HW982" s="133"/>
      <c r="HX982" s="133"/>
      <c r="HY982" s="133"/>
      <c r="HZ982" s="133"/>
      <c r="IA982" s="133"/>
      <c r="IB982" s="133"/>
      <c r="IC982" s="133"/>
      <c r="ID982" s="133"/>
      <c r="IE982" s="133"/>
      <c r="IF982" s="133"/>
      <c r="IG982" s="133"/>
      <c r="IH982" s="133"/>
      <c r="II982" s="133"/>
      <c r="IJ982" s="133"/>
      <c r="IK982" s="133"/>
      <c r="IL982" s="133"/>
      <c r="IM982" s="133"/>
      <c r="IN982" s="133"/>
      <c r="IO982" s="133"/>
      <c r="IP982" s="133"/>
      <c r="IQ982" s="133"/>
      <c r="IR982" s="133"/>
      <c r="IS982" s="133"/>
      <c r="IT982" s="133"/>
      <c r="IU982" s="133"/>
      <c r="IV982" s="133"/>
    </row>
    <row r="983" spans="1:256" s="132" customFormat="1" ht="13.8">
      <c r="A983" s="133"/>
      <c r="B983" s="133"/>
      <c r="C983" s="133"/>
      <c r="D983" s="133"/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GE983" s="133"/>
      <c r="GF983" s="133"/>
      <c r="GG983" s="133"/>
      <c r="GH983" s="133"/>
      <c r="GI983" s="133"/>
      <c r="GJ983" s="133"/>
      <c r="GK983" s="133"/>
      <c r="GL983" s="133"/>
      <c r="GM983" s="133"/>
      <c r="GN983" s="133"/>
      <c r="GO983" s="133"/>
      <c r="GP983" s="133"/>
      <c r="GQ983" s="133"/>
      <c r="GR983" s="133"/>
      <c r="GS983" s="133"/>
      <c r="GT983" s="133"/>
      <c r="GU983" s="133"/>
      <c r="GV983" s="133"/>
      <c r="GW983" s="133"/>
      <c r="GX983" s="133"/>
      <c r="GY983" s="133"/>
      <c r="GZ983" s="133"/>
      <c r="HA983" s="133"/>
      <c r="HB983" s="133"/>
      <c r="HC983" s="133"/>
      <c r="HD983" s="133"/>
      <c r="HE983" s="133"/>
      <c r="HF983" s="133"/>
      <c r="HG983" s="133"/>
      <c r="HH983" s="133"/>
      <c r="HI983" s="133"/>
      <c r="HJ983" s="133"/>
      <c r="HK983" s="133"/>
      <c r="HL983" s="133"/>
      <c r="HM983" s="133"/>
      <c r="HN983" s="133"/>
      <c r="HO983" s="133"/>
      <c r="HP983" s="133"/>
      <c r="HQ983" s="133"/>
      <c r="HR983" s="133"/>
      <c r="HS983" s="133"/>
      <c r="HT983" s="133"/>
      <c r="HU983" s="133"/>
      <c r="HV983" s="133"/>
      <c r="HW983" s="133"/>
      <c r="HX983" s="133"/>
      <c r="HY983" s="133"/>
      <c r="HZ983" s="133"/>
      <c r="IA983" s="133"/>
      <c r="IB983" s="133"/>
      <c r="IC983" s="133"/>
      <c r="ID983" s="133"/>
      <c r="IE983" s="133"/>
      <c r="IF983" s="133"/>
      <c r="IG983" s="133"/>
      <c r="IH983" s="133"/>
      <c r="II983" s="133"/>
      <c r="IJ983" s="133"/>
      <c r="IK983" s="133"/>
      <c r="IL983" s="133"/>
      <c r="IM983" s="133"/>
      <c r="IN983" s="133"/>
      <c r="IO983" s="133"/>
      <c r="IP983" s="133"/>
      <c r="IQ983" s="133"/>
      <c r="IR983" s="133"/>
      <c r="IS983" s="133"/>
      <c r="IT983" s="133"/>
      <c r="IU983" s="133"/>
      <c r="IV983" s="133"/>
    </row>
    <row r="984" spans="1:256" s="132" customFormat="1" ht="13.8">
      <c r="A984" s="133"/>
      <c r="B984" s="133"/>
      <c r="C984" s="133"/>
      <c r="D984" s="133"/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GE984" s="133"/>
      <c r="GF984" s="133"/>
      <c r="GG984" s="133"/>
      <c r="GH984" s="133"/>
      <c r="GI984" s="133"/>
      <c r="GJ984" s="133"/>
      <c r="GK984" s="133"/>
      <c r="GL984" s="133"/>
      <c r="GM984" s="133"/>
      <c r="GN984" s="133"/>
      <c r="GO984" s="133"/>
      <c r="GP984" s="133"/>
      <c r="GQ984" s="133"/>
      <c r="GR984" s="133"/>
      <c r="GS984" s="133"/>
      <c r="GT984" s="133"/>
      <c r="GU984" s="133"/>
      <c r="GV984" s="133"/>
      <c r="GW984" s="133"/>
      <c r="GX984" s="133"/>
      <c r="GY984" s="133"/>
      <c r="GZ984" s="133"/>
      <c r="HA984" s="133"/>
      <c r="HB984" s="133"/>
      <c r="HC984" s="133"/>
      <c r="HD984" s="133"/>
      <c r="HE984" s="133"/>
      <c r="HF984" s="133"/>
      <c r="HG984" s="133"/>
      <c r="HH984" s="133"/>
      <c r="HI984" s="133"/>
      <c r="HJ984" s="133"/>
      <c r="HK984" s="133"/>
      <c r="HL984" s="133"/>
      <c r="HM984" s="133"/>
      <c r="HN984" s="133"/>
      <c r="HO984" s="133"/>
      <c r="HP984" s="133"/>
      <c r="HQ984" s="133"/>
      <c r="HR984" s="133"/>
      <c r="HS984" s="133"/>
      <c r="HT984" s="133"/>
      <c r="HU984" s="133"/>
      <c r="HV984" s="133"/>
      <c r="HW984" s="133"/>
      <c r="HX984" s="133"/>
      <c r="HY984" s="133"/>
      <c r="HZ984" s="133"/>
      <c r="IA984" s="133"/>
      <c r="IB984" s="133"/>
      <c r="IC984" s="133"/>
      <c r="ID984" s="133"/>
      <c r="IE984" s="133"/>
      <c r="IF984" s="133"/>
      <c r="IG984" s="133"/>
      <c r="IH984" s="133"/>
      <c r="II984" s="133"/>
      <c r="IJ984" s="133"/>
      <c r="IK984" s="133"/>
      <c r="IL984" s="133"/>
      <c r="IM984" s="133"/>
      <c r="IN984" s="133"/>
      <c r="IO984" s="133"/>
      <c r="IP984" s="133"/>
      <c r="IQ984" s="133"/>
      <c r="IR984" s="133"/>
      <c r="IS984" s="133"/>
      <c r="IT984" s="133"/>
      <c r="IU984" s="133"/>
      <c r="IV984" s="133"/>
    </row>
    <row r="985" spans="1:256" s="132" customFormat="1" ht="13.8">
      <c r="A985" s="133"/>
      <c r="B985" s="133"/>
      <c r="C985" s="133"/>
      <c r="D985" s="133"/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GE985" s="133"/>
      <c r="GF985" s="133"/>
      <c r="GG985" s="133"/>
      <c r="GH985" s="133"/>
      <c r="GI985" s="133"/>
      <c r="GJ985" s="133"/>
      <c r="GK985" s="133"/>
      <c r="GL985" s="133"/>
      <c r="GM985" s="133"/>
      <c r="GN985" s="133"/>
      <c r="GO985" s="133"/>
      <c r="GP985" s="133"/>
      <c r="GQ985" s="133"/>
      <c r="GR985" s="133"/>
      <c r="GS985" s="133"/>
      <c r="GT985" s="133"/>
      <c r="GU985" s="133"/>
      <c r="GV985" s="133"/>
      <c r="GW985" s="133"/>
      <c r="GX985" s="133"/>
      <c r="GY985" s="133"/>
      <c r="GZ985" s="133"/>
      <c r="HA985" s="133"/>
      <c r="HB985" s="133"/>
      <c r="HC985" s="133"/>
      <c r="HD985" s="133"/>
      <c r="HE985" s="133"/>
      <c r="HF985" s="133"/>
      <c r="HG985" s="133"/>
      <c r="HH985" s="133"/>
      <c r="HI985" s="133"/>
      <c r="HJ985" s="133"/>
      <c r="HK985" s="133"/>
      <c r="HL985" s="133"/>
      <c r="HM985" s="133"/>
      <c r="HN985" s="133"/>
      <c r="HO985" s="133"/>
      <c r="HP985" s="133"/>
      <c r="HQ985" s="133"/>
      <c r="HR985" s="133"/>
      <c r="HS985" s="133"/>
      <c r="HT985" s="133"/>
      <c r="HU985" s="133"/>
      <c r="HV985" s="133"/>
      <c r="HW985" s="133"/>
      <c r="HX985" s="133"/>
      <c r="HY985" s="133"/>
      <c r="HZ985" s="133"/>
      <c r="IA985" s="133"/>
      <c r="IB985" s="133"/>
      <c r="IC985" s="133"/>
      <c r="ID985" s="133"/>
      <c r="IE985" s="133"/>
      <c r="IF985" s="133"/>
      <c r="IG985" s="133"/>
      <c r="IH985" s="133"/>
      <c r="II985" s="133"/>
      <c r="IJ985" s="133"/>
      <c r="IK985" s="133"/>
      <c r="IL985" s="133"/>
      <c r="IM985" s="133"/>
      <c r="IN985" s="133"/>
      <c r="IO985" s="133"/>
      <c r="IP985" s="133"/>
      <c r="IQ985" s="133"/>
      <c r="IR985" s="133"/>
      <c r="IS985" s="133"/>
      <c r="IT985" s="133"/>
      <c r="IU985" s="133"/>
      <c r="IV985" s="133"/>
    </row>
    <row r="986" spans="1:256" s="132" customFormat="1" ht="13.8">
      <c r="A986" s="133"/>
      <c r="B986" s="133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GE986" s="133"/>
      <c r="GF986" s="133"/>
      <c r="GG986" s="133"/>
      <c r="GH986" s="133"/>
      <c r="GI986" s="133"/>
      <c r="GJ986" s="133"/>
      <c r="GK986" s="133"/>
      <c r="GL986" s="133"/>
      <c r="GM986" s="133"/>
      <c r="GN986" s="133"/>
      <c r="GO986" s="133"/>
      <c r="GP986" s="133"/>
      <c r="GQ986" s="133"/>
      <c r="GR986" s="133"/>
      <c r="GS986" s="133"/>
      <c r="GT986" s="133"/>
      <c r="GU986" s="133"/>
      <c r="GV986" s="133"/>
      <c r="GW986" s="133"/>
      <c r="GX986" s="133"/>
      <c r="GY986" s="133"/>
      <c r="GZ986" s="133"/>
      <c r="HA986" s="133"/>
      <c r="HB986" s="133"/>
      <c r="HC986" s="133"/>
      <c r="HD986" s="133"/>
      <c r="HE986" s="133"/>
      <c r="HF986" s="133"/>
      <c r="HG986" s="133"/>
      <c r="HH986" s="133"/>
      <c r="HI986" s="133"/>
      <c r="HJ986" s="133"/>
      <c r="HK986" s="133"/>
      <c r="HL986" s="133"/>
      <c r="HM986" s="133"/>
      <c r="HN986" s="133"/>
      <c r="HO986" s="133"/>
      <c r="HP986" s="133"/>
      <c r="HQ986" s="133"/>
      <c r="HR986" s="133"/>
      <c r="HS986" s="133"/>
      <c r="HT986" s="133"/>
      <c r="HU986" s="133"/>
      <c r="HV986" s="133"/>
      <c r="HW986" s="133"/>
      <c r="HX986" s="133"/>
      <c r="HY986" s="133"/>
      <c r="HZ986" s="133"/>
      <c r="IA986" s="133"/>
      <c r="IB986" s="133"/>
      <c r="IC986" s="133"/>
      <c r="ID986" s="133"/>
      <c r="IE986" s="133"/>
      <c r="IF986" s="133"/>
      <c r="IG986" s="133"/>
      <c r="IH986" s="133"/>
      <c r="II986" s="133"/>
      <c r="IJ986" s="133"/>
      <c r="IK986" s="133"/>
      <c r="IL986" s="133"/>
      <c r="IM986" s="133"/>
      <c r="IN986" s="133"/>
      <c r="IO986" s="133"/>
      <c r="IP986" s="133"/>
      <c r="IQ986" s="133"/>
      <c r="IR986" s="133"/>
      <c r="IS986" s="133"/>
      <c r="IT986" s="133"/>
      <c r="IU986" s="133"/>
      <c r="IV986" s="133"/>
    </row>
    <row r="987" spans="1:256" s="132" customFormat="1" ht="13.8">
      <c r="A987" s="133"/>
      <c r="B987" s="133"/>
      <c r="C987" s="133"/>
      <c r="D987" s="133"/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GE987" s="133"/>
      <c r="GF987" s="133"/>
      <c r="GG987" s="133"/>
      <c r="GH987" s="133"/>
      <c r="GI987" s="133"/>
      <c r="GJ987" s="133"/>
      <c r="GK987" s="133"/>
      <c r="GL987" s="133"/>
      <c r="GM987" s="133"/>
      <c r="GN987" s="133"/>
      <c r="GO987" s="133"/>
      <c r="GP987" s="133"/>
      <c r="GQ987" s="133"/>
      <c r="GR987" s="133"/>
      <c r="GS987" s="133"/>
      <c r="GT987" s="133"/>
      <c r="GU987" s="133"/>
      <c r="GV987" s="133"/>
      <c r="GW987" s="133"/>
      <c r="GX987" s="133"/>
      <c r="GY987" s="133"/>
      <c r="GZ987" s="133"/>
      <c r="HA987" s="133"/>
      <c r="HB987" s="133"/>
      <c r="HC987" s="133"/>
      <c r="HD987" s="133"/>
      <c r="HE987" s="133"/>
      <c r="HF987" s="133"/>
      <c r="HG987" s="133"/>
      <c r="HH987" s="133"/>
      <c r="HI987" s="133"/>
      <c r="HJ987" s="133"/>
      <c r="HK987" s="133"/>
      <c r="HL987" s="133"/>
      <c r="HM987" s="133"/>
      <c r="HN987" s="133"/>
      <c r="HO987" s="133"/>
      <c r="HP987" s="133"/>
      <c r="HQ987" s="133"/>
      <c r="HR987" s="133"/>
      <c r="HS987" s="133"/>
      <c r="HT987" s="133"/>
      <c r="HU987" s="133"/>
      <c r="HV987" s="133"/>
      <c r="HW987" s="133"/>
      <c r="HX987" s="133"/>
      <c r="HY987" s="133"/>
      <c r="HZ987" s="133"/>
      <c r="IA987" s="133"/>
      <c r="IB987" s="133"/>
      <c r="IC987" s="133"/>
      <c r="ID987" s="133"/>
      <c r="IE987" s="133"/>
      <c r="IF987" s="133"/>
      <c r="IG987" s="133"/>
      <c r="IH987" s="133"/>
      <c r="II987" s="133"/>
      <c r="IJ987" s="133"/>
      <c r="IK987" s="133"/>
      <c r="IL987" s="133"/>
      <c r="IM987" s="133"/>
      <c r="IN987" s="133"/>
      <c r="IO987" s="133"/>
      <c r="IP987" s="133"/>
      <c r="IQ987" s="133"/>
      <c r="IR987" s="133"/>
      <c r="IS987" s="133"/>
      <c r="IT987" s="133"/>
      <c r="IU987" s="133"/>
      <c r="IV987" s="133"/>
    </row>
    <row r="988" spans="1:256" s="132" customFormat="1" ht="13.8">
      <c r="A988" s="133"/>
      <c r="B988" s="133"/>
      <c r="C988" s="133"/>
      <c r="D988" s="133"/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GE988" s="133"/>
      <c r="GF988" s="133"/>
      <c r="GG988" s="133"/>
      <c r="GH988" s="133"/>
      <c r="GI988" s="133"/>
      <c r="GJ988" s="133"/>
      <c r="GK988" s="133"/>
      <c r="GL988" s="133"/>
      <c r="GM988" s="133"/>
      <c r="GN988" s="133"/>
      <c r="GO988" s="133"/>
      <c r="GP988" s="133"/>
      <c r="GQ988" s="133"/>
      <c r="GR988" s="133"/>
      <c r="GS988" s="133"/>
      <c r="GT988" s="133"/>
      <c r="GU988" s="133"/>
      <c r="GV988" s="133"/>
      <c r="GW988" s="133"/>
      <c r="GX988" s="133"/>
      <c r="GY988" s="133"/>
      <c r="GZ988" s="133"/>
      <c r="HA988" s="133"/>
      <c r="HB988" s="133"/>
      <c r="HC988" s="133"/>
      <c r="HD988" s="133"/>
      <c r="HE988" s="133"/>
      <c r="HF988" s="133"/>
      <c r="HG988" s="133"/>
      <c r="HH988" s="133"/>
      <c r="HI988" s="133"/>
      <c r="HJ988" s="133"/>
      <c r="HK988" s="133"/>
      <c r="HL988" s="133"/>
      <c r="HM988" s="133"/>
      <c r="HN988" s="133"/>
      <c r="HO988" s="133"/>
      <c r="HP988" s="133"/>
      <c r="HQ988" s="133"/>
      <c r="HR988" s="133"/>
      <c r="HS988" s="133"/>
      <c r="HT988" s="133"/>
      <c r="HU988" s="133"/>
      <c r="HV988" s="133"/>
      <c r="HW988" s="133"/>
      <c r="HX988" s="133"/>
      <c r="HY988" s="133"/>
      <c r="HZ988" s="133"/>
      <c r="IA988" s="133"/>
      <c r="IB988" s="133"/>
      <c r="IC988" s="133"/>
      <c r="ID988" s="133"/>
      <c r="IE988" s="133"/>
      <c r="IF988" s="133"/>
      <c r="IG988" s="133"/>
      <c r="IH988" s="133"/>
      <c r="II988" s="133"/>
      <c r="IJ988" s="133"/>
      <c r="IK988" s="133"/>
      <c r="IL988" s="133"/>
      <c r="IM988" s="133"/>
      <c r="IN988" s="133"/>
      <c r="IO988" s="133"/>
      <c r="IP988" s="133"/>
      <c r="IQ988" s="133"/>
      <c r="IR988" s="133"/>
      <c r="IS988" s="133"/>
      <c r="IT988" s="133"/>
      <c r="IU988" s="133"/>
      <c r="IV988" s="133"/>
    </row>
    <row r="989" spans="1:256" s="132" customFormat="1" ht="13.8">
      <c r="A989" s="133"/>
      <c r="B989" s="133"/>
      <c r="C989" s="133"/>
      <c r="D989" s="133"/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GE989" s="133"/>
      <c r="GF989" s="133"/>
      <c r="GG989" s="133"/>
      <c r="GH989" s="133"/>
      <c r="GI989" s="133"/>
      <c r="GJ989" s="133"/>
      <c r="GK989" s="133"/>
      <c r="GL989" s="133"/>
      <c r="GM989" s="133"/>
      <c r="GN989" s="133"/>
      <c r="GO989" s="133"/>
      <c r="GP989" s="133"/>
      <c r="GQ989" s="133"/>
      <c r="GR989" s="133"/>
      <c r="GS989" s="133"/>
      <c r="GT989" s="133"/>
      <c r="GU989" s="133"/>
      <c r="GV989" s="133"/>
      <c r="GW989" s="133"/>
      <c r="GX989" s="133"/>
      <c r="GY989" s="133"/>
      <c r="GZ989" s="133"/>
      <c r="HA989" s="133"/>
      <c r="HB989" s="133"/>
      <c r="HC989" s="133"/>
      <c r="HD989" s="133"/>
      <c r="HE989" s="133"/>
      <c r="HF989" s="133"/>
      <c r="HG989" s="133"/>
      <c r="HH989" s="133"/>
      <c r="HI989" s="133"/>
      <c r="HJ989" s="133"/>
      <c r="HK989" s="133"/>
      <c r="HL989" s="133"/>
      <c r="HM989" s="133"/>
      <c r="HN989" s="133"/>
      <c r="HO989" s="133"/>
      <c r="HP989" s="133"/>
      <c r="HQ989" s="133"/>
      <c r="HR989" s="133"/>
      <c r="HS989" s="133"/>
      <c r="HT989" s="133"/>
      <c r="HU989" s="133"/>
      <c r="HV989" s="133"/>
      <c r="HW989" s="133"/>
      <c r="HX989" s="133"/>
      <c r="HY989" s="133"/>
      <c r="HZ989" s="133"/>
      <c r="IA989" s="133"/>
      <c r="IB989" s="133"/>
      <c r="IC989" s="133"/>
      <c r="ID989" s="133"/>
      <c r="IE989" s="133"/>
      <c r="IF989" s="133"/>
      <c r="IG989" s="133"/>
      <c r="IH989" s="133"/>
      <c r="II989" s="133"/>
      <c r="IJ989" s="133"/>
      <c r="IK989" s="133"/>
      <c r="IL989" s="133"/>
      <c r="IM989" s="133"/>
      <c r="IN989" s="133"/>
      <c r="IO989" s="133"/>
      <c r="IP989" s="133"/>
      <c r="IQ989" s="133"/>
      <c r="IR989" s="133"/>
      <c r="IS989" s="133"/>
      <c r="IT989" s="133"/>
      <c r="IU989" s="133"/>
      <c r="IV989" s="133"/>
    </row>
    <row r="990" spans="1:256" s="132" customFormat="1" ht="13.8">
      <c r="A990" s="133"/>
      <c r="B990" s="133"/>
      <c r="C990" s="133"/>
      <c r="D990" s="133"/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GE990" s="133"/>
      <c r="GF990" s="133"/>
      <c r="GG990" s="133"/>
      <c r="GH990" s="133"/>
      <c r="GI990" s="133"/>
      <c r="GJ990" s="133"/>
      <c r="GK990" s="133"/>
      <c r="GL990" s="133"/>
      <c r="GM990" s="133"/>
      <c r="GN990" s="133"/>
      <c r="GO990" s="133"/>
      <c r="GP990" s="133"/>
      <c r="GQ990" s="133"/>
      <c r="GR990" s="133"/>
      <c r="GS990" s="133"/>
      <c r="GT990" s="133"/>
      <c r="GU990" s="133"/>
      <c r="GV990" s="133"/>
      <c r="GW990" s="133"/>
      <c r="GX990" s="133"/>
      <c r="GY990" s="133"/>
      <c r="GZ990" s="133"/>
      <c r="HA990" s="133"/>
      <c r="HB990" s="133"/>
      <c r="HC990" s="133"/>
      <c r="HD990" s="133"/>
      <c r="HE990" s="133"/>
      <c r="HF990" s="133"/>
      <c r="HG990" s="133"/>
      <c r="HH990" s="133"/>
      <c r="HI990" s="133"/>
      <c r="HJ990" s="133"/>
      <c r="HK990" s="133"/>
      <c r="HL990" s="133"/>
      <c r="HM990" s="133"/>
      <c r="HN990" s="133"/>
      <c r="HO990" s="133"/>
      <c r="HP990" s="133"/>
      <c r="HQ990" s="133"/>
      <c r="HR990" s="133"/>
      <c r="HS990" s="133"/>
      <c r="HT990" s="133"/>
      <c r="HU990" s="133"/>
      <c r="HV990" s="133"/>
      <c r="HW990" s="133"/>
      <c r="HX990" s="133"/>
      <c r="HY990" s="133"/>
      <c r="HZ990" s="133"/>
      <c r="IA990" s="133"/>
      <c r="IB990" s="133"/>
      <c r="IC990" s="133"/>
      <c r="ID990" s="133"/>
      <c r="IE990" s="133"/>
      <c r="IF990" s="133"/>
      <c r="IG990" s="133"/>
      <c r="IH990" s="133"/>
      <c r="II990" s="133"/>
      <c r="IJ990" s="133"/>
      <c r="IK990" s="133"/>
      <c r="IL990" s="133"/>
      <c r="IM990" s="133"/>
      <c r="IN990" s="133"/>
      <c r="IO990" s="133"/>
      <c r="IP990" s="133"/>
      <c r="IQ990" s="133"/>
      <c r="IR990" s="133"/>
      <c r="IS990" s="133"/>
      <c r="IT990" s="133"/>
      <c r="IU990" s="133"/>
      <c r="IV990" s="133"/>
    </row>
    <row r="991" spans="1:256" s="132" customFormat="1" ht="13.8">
      <c r="A991" s="133"/>
      <c r="B991" s="133"/>
      <c r="C991" s="133"/>
      <c r="D991" s="133"/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GE991" s="133"/>
      <c r="GF991" s="133"/>
      <c r="GG991" s="133"/>
      <c r="GH991" s="133"/>
      <c r="GI991" s="133"/>
      <c r="GJ991" s="133"/>
      <c r="GK991" s="133"/>
      <c r="GL991" s="133"/>
      <c r="GM991" s="133"/>
      <c r="GN991" s="133"/>
      <c r="GO991" s="133"/>
      <c r="GP991" s="133"/>
      <c r="GQ991" s="133"/>
      <c r="GR991" s="133"/>
      <c r="GS991" s="133"/>
      <c r="GT991" s="133"/>
      <c r="GU991" s="133"/>
      <c r="GV991" s="133"/>
      <c r="GW991" s="133"/>
      <c r="GX991" s="133"/>
      <c r="GY991" s="133"/>
      <c r="GZ991" s="133"/>
      <c r="HA991" s="133"/>
      <c r="HB991" s="133"/>
      <c r="HC991" s="133"/>
      <c r="HD991" s="133"/>
      <c r="HE991" s="133"/>
      <c r="HF991" s="133"/>
      <c r="HG991" s="133"/>
      <c r="HH991" s="133"/>
      <c r="HI991" s="133"/>
      <c r="HJ991" s="133"/>
      <c r="HK991" s="133"/>
      <c r="HL991" s="133"/>
      <c r="HM991" s="133"/>
      <c r="HN991" s="133"/>
      <c r="HO991" s="133"/>
      <c r="HP991" s="133"/>
      <c r="HQ991" s="133"/>
      <c r="HR991" s="133"/>
      <c r="HS991" s="133"/>
      <c r="HT991" s="133"/>
      <c r="HU991" s="133"/>
      <c r="HV991" s="133"/>
      <c r="HW991" s="133"/>
      <c r="HX991" s="133"/>
      <c r="HY991" s="133"/>
      <c r="HZ991" s="133"/>
      <c r="IA991" s="133"/>
      <c r="IB991" s="133"/>
      <c r="IC991" s="133"/>
      <c r="ID991" s="133"/>
      <c r="IE991" s="133"/>
      <c r="IF991" s="133"/>
      <c r="IG991" s="133"/>
      <c r="IH991" s="133"/>
      <c r="II991" s="133"/>
      <c r="IJ991" s="133"/>
      <c r="IK991" s="133"/>
      <c r="IL991" s="133"/>
      <c r="IM991" s="133"/>
      <c r="IN991" s="133"/>
      <c r="IO991" s="133"/>
      <c r="IP991" s="133"/>
      <c r="IQ991" s="133"/>
      <c r="IR991" s="133"/>
      <c r="IS991" s="133"/>
      <c r="IT991" s="133"/>
      <c r="IU991" s="133"/>
      <c r="IV991" s="133"/>
    </row>
    <row r="992" spans="1:256" s="132" customFormat="1" ht="13.8">
      <c r="A992" s="133"/>
      <c r="B992" s="133"/>
      <c r="C992" s="133"/>
      <c r="D992" s="133"/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GE992" s="133"/>
      <c r="GF992" s="133"/>
      <c r="GG992" s="133"/>
      <c r="GH992" s="133"/>
      <c r="GI992" s="133"/>
      <c r="GJ992" s="133"/>
      <c r="GK992" s="133"/>
      <c r="GL992" s="133"/>
      <c r="GM992" s="133"/>
      <c r="GN992" s="133"/>
      <c r="GO992" s="133"/>
      <c r="GP992" s="133"/>
      <c r="GQ992" s="133"/>
      <c r="GR992" s="133"/>
      <c r="GS992" s="133"/>
      <c r="GT992" s="133"/>
      <c r="GU992" s="133"/>
      <c r="GV992" s="133"/>
      <c r="GW992" s="133"/>
      <c r="GX992" s="133"/>
      <c r="GY992" s="133"/>
      <c r="GZ992" s="133"/>
      <c r="HA992" s="133"/>
      <c r="HB992" s="133"/>
      <c r="HC992" s="133"/>
      <c r="HD992" s="133"/>
      <c r="HE992" s="133"/>
      <c r="HF992" s="133"/>
      <c r="HG992" s="133"/>
      <c r="HH992" s="133"/>
      <c r="HI992" s="133"/>
      <c r="HJ992" s="133"/>
      <c r="HK992" s="133"/>
      <c r="HL992" s="133"/>
      <c r="HM992" s="133"/>
      <c r="HN992" s="133"/>
      <c r="HO992" s="133"/>
      <c r="HP992" s="133"/>
      <c r="HQ992" s="133"/>
      <c r="HR992" s="133"/>
      <c r="HS992" s="133"/>
      <c r="HT992" s="133"/>
      <c r="HU992" s="133"/>
      <c r="HV992" s="133"/>
      <c r="HW992" s="133"/>
      <c r="HX992" s="133"/>
      <c r="HY992" s="133"/>
      <c r="HZ992" s="133"/>
      <c r="IA992" s="133"/>
      <c r="IB992" s="133"/>
      <c r="IC992" s="133"/>
      <c r="ID992" s="133"/>
      <c r="IE992" s="133"/>
      <c r="IF992" s="133"/>
      <c r="IG992" s="133"/>
      <c r="IH992" s="133"/>
      <c r="II992" s="133"/>
      <c r="IJ992" s="133"/>
      <c r="IK992" s="133"/>
      <c r="IL992" s="133"/>
      <c r="IM992" s="133"/>
      <c r="IN992" s="133"/>
      <c r="IO992" s="133"/>
      <c r="IP992" s="133"/>
      <c r="IQ992" s="133"/>
      <c r="IR992" s="133"/>
      <c r="IS992" s="133"/>
      <c r="IT992" s="133"/>
      <c r="IU992" s="133"/>
      <c r="IV992" s="133"/>
    </row>
    <row r="993" spans="1:256" s="132" customFormat="1" ht="13.8">
      <c r="A993" s="133"/>
      <c r="B993" s="133"/>
      <c r="C993" s="133"/>
      <c r="D993" s="133"/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GE993" s="133"/>
      <c r="GF993" s="133"/>
      <c r="GG993" s="133"/>
      <c r="GH993" s="133"/>
      <c r="GI993" s="133"/>
      <c r="GJ993" s="133"/>
      <c r="GK993" s="133"/>
      <c r="GL993" s="133"/>
      <c r="GM993" s="133"/>
      <c r="GN993" s="133"/>
      <c r="GO993" s="133"/>
      <c r="GP993" s="133"/>
      <c r="GQ993" s="133"/>
      <c r="GR993" s="133"/>
      <c r="GS993" s="133"/>
      <c r="GT993" s="133"/>
      <c r="GU993" s="133"/>
      <c r="GV993" s="133"/>
      <c r="GW993" s="133"/>
      <c r="GX993" s="133"/>
      <c r="GY993" s="133"/>
      <c r="GZ993" s="133"/>
      <c r="HA993" s="133"/>
      <c r="HB993" s="133"/>
      <c r="HC993" s="133"/>
      <c r="HD993" s="133"/>
      <c r="HE993" s="133"/>
      <c r="HF993" s="133"/>
      <c r="HG993" s="133"/>
      <c r="HH993" s="133"/>
      <c r="HI993" s="133"/>
      <c r="HJ993" s="133"/>
      <c r="HK993" s="133"/>
      <c r="HL993" s="133"/>
      <c r="HM993" s="133"/>
      <c r="HN993" s="133"/>
      <c r="HO993" s="133"/>
      <c r="HP993" s="133"/>
      <c r="HQ993" s="133"/>
      <c r="HR993" s="133"/>
      <c r="HS993" s="133"/>
      <c r="HT993" s="133"/>
      <c r="HU993" s="133"/>
      <c r="HV993" s="133"/>
      <c r="HW993" s="133"/>
      <c r="HX993" s="133"/>
      <c r="HY993" s="133"/>
      <c r="HZ993" s="133"/>
      <c r="IA993" s="133"/>
      <c r="IB993" s="133"/>
      <c r="IC993" s="133"/>
      <c r="ID993" s="133"/>
      <c r="IE993" s="133"/>
      <c r="IF993" s="133"/>
      <c r="IG993" s="133"/>
      <c r="IH993" s="133"/>
      <c r="II993" s="133"/>
      <c r="IJ993" s="133"/>
      <c r="IK993" s="133"/>
      <c r="IL993" s="133"/>
      <c r="IM993" s="133"/>
      <c r="IN993" s="133"/>
      <c r="IO993" s="133"/>
      <c r="IP993" s="133"/>
      <c r="IQ993" s="133"/>
      <c r="IR993" s="133"/>
      <c r="IS993" s="133"/>
      <c r="IT993" s="133"/>
      <c r="IU993" s="133"/>
      <c r="IV993" s="133"/>
    </row>
    <row r="994" spans="1:256" s="132" customFormat="1" ht="13.8">
      <c r="A994" s="133"/>
      <c r="B994" s="133"/>
      <c r="C994" s="133"/>
      <c r="D994" s="133"/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GE994" s="133"/>
      <c r="GF994" s="133"/>
      <c r="GG994" s="133"/>
      <c r="GH994" s="133"/>
      <c r="GI994" s="133"/>
      <c r="GJ994" s="133"/>
      <c r="GK994" s="133"/>
      <c r="GL994" s="133"/>
      <c r="GM994" s="133"/>
      <c r="GN994" s="133"/>
      <c r="GO994" s="133"/>
      <c r="GP994" s="133"/>
      <c r="GQ994" s="133"/>
      <c r="GR994" s="133"/>
      <c r="GS994" s="133"/>
      <c r="GT994" s="133"/>
      <c r="GU994" s="133"/>
      <c r="GV994" s="133"/>
      <c r="GW994" s="133"/>
      <c r="GX994" s="133"/>
      <c r="GY994" s="133"/>
      <c r="GZ994" s="133"/>
      <c r="HA994" s="133"/>
      <c r="HB994" s="133"/>
      <c r="HC994" s="133"/>
      <c r="HD994" s="133"/>
      <c r="HE994" s="133"/>
      <c r="HF994" s="133"/>
      <c r="HG994" s="133"/>
      <c r="HH994" s="133"/>
      <c r="HI994" s="133"/>
      <c r="HJ994" s="133"/>
      <c r="HK994" s="133"/>
      <c r="HL994" s="133"/>
      <c r="HM994" s="133"/>
      <c r="HN994" s="133"/>
      <c r="HO994" s="133"/>
      <c r="HP994" s="133"/>
      <c r="HQ994" s="133"/>
      <c r="HR994" s="133"/>
      <c r="HS994" s="133"/>
      <c r="HT994" s="133"/>
      <c r="HU994" s="133"/>
      <c r="HV994" s="133"/>
      <c r="HW994" s="133"/>
      <c r="HX994" s="133"/>
      <c r="HY994" s="133"/>
      <c r="HZ994" s="133"/>
      <c r="IA994" s="133"/>
      <c r="IB994" s="133"/>
      <c r="IC994" s="133"/>
      <c r="ID994" s="133"/>
      <c r="IE994" s="133"/>
      <c r="IF994" s="133"/>
      <c r="IG994" s="133"/>
      <c r="IH994" s="133"/>
      <c r="II994" s="133"/>
      <c r="IJ994" s="133"/>
      <c r="IK994" s="133"/>
      <c r="IL994" s="133"/>
      <c r="IM994" s="133"/>
      <c r="IN994" s="133"/>
      <c r="IO994" s="133"/>
      <c r="IP994" s="133"/>
      <c r="IQ994" s="133"/>
      <c r="IR994" s="133"/>
      <c r="IS994" s="133"/>
      <c r="IT994" s="133"/>
      <c r="IU994" s="133"/>
      <c r="IV994" s="133"/>
    </row>
    <row r="995" spans="1:256" s="132" customFormat="1" ht="13.8">
      <c r="A995" s="133"/>
      <c r="B995" s="133"/>
      <c r="C995" s="133"/>
      <c r="D995" s="133"/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GE995" s="133"/>
      <c r="GF995" s="133"/>
      <c r="GG995" s="133"/>
      <c r="GH995" s="133"/>
      <c r="GI995" s="133"/>
      <c r="GJ995" s="133"/>
      <c r="GK995" s="133"/>
      <c r="GL995" s="133"/>
      <c r="GM995" s="133"/>
      <c r="GN995" s="133"/>
      <c r="GO995" s="133"/>
      <c r="GP995" s="133"/>
      <c r="GQ995" s="133"/>
      <c r="GR995" s="133"/>
      <c r="GS995" s="133"/>
      <c r="GT995" s="133"/>
      <c r="GU995" s="133"/>
      <c r="GV995" s="133"/>
      <c r="GW995" s="133"/>
      <c r="GX995" s="133"/>
      <c r="GY995" s="133"/>
      <c r="GZ995" s="133"/>
      <c r="HA995" s="133"/>
      <c r="HB995" s="133"/>
      <c r="HC995" s="133"/>
      <c r="HD995" s="133"/>
      <c r="HE995" s="133"/>
      <c r="HF995" s="133"/>
      <c r="HG995" s="133"/>
      <c r="HH995" s="133"/>
      <c r="HI995" s="133"/>
      <c r="HJ995" s="133"/>
      <c r="HK995" s="133"/>
      <c r="HL995" s="133"/>
      <c r="HM995" s="133"/>
      <c r="HN995" s="133"/>
      <c r="HO995" s="133"/>
      <c r="HP995" s="133"/>
      <c r="HQ995" s="133"/>
      <c r="HR995" s="133"/>
      <c r="HS995" s="133"/>
      <c r="HT995" s="133"/>
      <c r="HU995" s="133"/>
      <c r="HV995" s="133"/>
      <c r="HW995" s="133"/>
      <c r="HX995" s="133"/>
      <c r="HY995" s="133"/>
      <c r="HZ995" s="133"/>
      <c r="IA995" s="133"/>
      <c r="IB995" s="133"/>
      <c r="IC995" s="133"/>
      <c r="ID995" s="133"/>
      <c r="IE995" s="133"/>
      <c r="IF995" s="133"/>
      <c r="IG995" s="133"/>
      <c r="IH995" s="133"/>
      <c r="II995" s="133"/>
      <c r="IJ995" s="133"/>
      <c r="IK995" s="133"/>
      <c r="IL995" s="133"/>
      <c r="IM995" s="133"/>
      <c r="IN995" s="133"/>
      <c r="IO995" s="133"/>
      <c r="IP995" s="133"/>
      <c r="IQ995" s="133"/>
      <c r="IR995" s="133"/>
      <c r="IS995" s="133"/>
      <c r="IT995" s="133"/>
      <c r="IU995" s="133"/>
      <c r="IV995" s="133"/>
    </row>
    <row r="996" spans="1:256" s="132" customFormat="1" ht="13.8">
      <c r="A996" s="133"/>
      <c r="B996" s="133"/>
      <c r="C996" s="133"/>
      <c r="D996" s="133"/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GE996" s="133"/>
      <c r="GF996" s="133"/>
      <c r="GG996" s="133"/>
      <c r="GH996" s="133"/>
      <c r="GI996" s="133"/>
      <c r="GJ996" s="133"/>
      <c r="GK996" s="133"/>
      <c r="GL996" s="133"/>
      <c r="GM996" s="133"/>
      <c r="GN996" s="133"/>
      <c r="GO996" s="133"/>
      <c r="GP996" s="133"/>
      <c r="GQ996" s="133"/>
      <c r="GR996" s="133"/>
      <c r="GS996" s="133"/>
      <c r="GT996" s="133"/>
      <c r="GU996" s="133"/>
      <c r="GV996" s="133"/>
      <c r="GW996" s="133"/>
      <c r="GX996" s="133"/>
      <c r="GY996" s="133"/>
      <c r="GZ996" s="133"/>
      <c r="HA996" s="133"/>
      <c r="HB996" s="133"/>
      <c r="HC996" s="133"/>
      <c r="HD996" s="133"/>
      <c r="HE996" s="133"/>
      <c r="HF996" s="133"/>
      <c r="HG996" s="133"/>
      <c r="HH996" s="133"/>
      <c r="HI996" s="133"/>
      <c r="HJ996" s="133"/>
      <c r="HK996" s="133"/>
      <c r="HL996" s="133"/>
      <c r="HM996" s="133"/>
      <c r="HN996" s="133"/>
      <c r="HO996" s="133"/>
      <c r="HP996" s="133"/>
      <c r="HQ996" s="133"/>
      <c r="HR996" s="133"/>
      <c r="HS996" s="133"/>
      <c r="HT996" s="133"/>
      <c r="HU996" s="133"/>
      <c r="HV996" s="133"/>
      <c r="HW996" s="133"/>
      <c r="HX996" s="133"/>
      <c r="HY996" s="133"/>
      <c r="HZ996" s="133"/>
      <c r="IA996" s="133"/>
      <c r="IB996" s="133"/>
      <c r="IC996" s="133"/>
      <c r="ID996" s="133"/>
      <c r="IE996" s="133"/>
      <c r="IF996" s="133"/>
      <c r="IG996" s="133"/>
      <c r="IH996" s="133"/>
      <c r="II996" s="133"/>
      <c r="IJ996" s="133"/>
      <c r="IK996" s="133"/>
      <c r="IL996" s="133"/>
      <c r="IM996" s="133"/>
      <c r="IN996" s="133"/>
      <c r="IO996" s="133"/>
      <c r="IP996" s="133"/>
      <c r="IQ996" s="133"/>
      <c r="IR996" s="133"/>
      <c r="IS996" s="133"/>
      <c r="IT996" s="133"/>
      <c r="IU996" s="133"/>
      <c r="IV996" s="133"/>
    </row>
    <row r="997" spans="1:256" s="132" customFormat="1" ht="13.8">
      <c r="A997" s="133"/>
      <c r="B997" s="133"/>
      <c r="C997" s="133"/>
      <c r="D997" s="133"/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GE997" s="133"/>
      <c r="GF997" s="133"/>
      <c r="GG997" s="133"/>
      <c r="GH997" s="133"/>
      <c r="GI997" s="133"/>
      <c r="GJ997" s="133"/>
      <c r="GK997" s="133"/>
      <c r="GL997" s="133"/>
      <c r="GM997" s="133"/>
      <c r="GN997" s="133"/>
      <c r="GO997" s="133"/>
      <c r="GP997" s="133"/>
      <c r="GQ997" s="133"/>
      <c r="GR997" s="133"/>
      <c r="GS997" s="133"/>
      <c r="GT997" s="133"/>
      <c r="GU997" s="133"/>
      <c r="GV997" s="133"/>
      <c r="GW997" s="133"/>
      <c r="GX997" s="133"/>
      <c r="GY997" s="133"/>
      <c r="GZ997" s="133"/>
      <c r="HA997" s="133"/>
      <c r="HB997" s="133"/>
      <c r="HC997" s="133"/>
      <c r="HD997" s="133"/>
      <c r="HE997" s="133"/>
      <c r="HF997" s="133"/>
      <c r="HG997" s="133"/>
      <c r="HH997" s="133"/>
      <c r="HI997" s="133"/>
      <c r="HJ997" s="133"/>
      <c r="HK997" s="133"/>
      <c r="HL997" s="133"/>
      <c r="HM997" s="133"/>
      <c r="HN997" s="133"/>
      <c r="HO997" s="133"/>
      <c r="HP997" s="133"/>
      <c r="HQ997" s="133"/>
      <c r="HR997" s="133"/>
      <c r="HS997" s="133"/>
      <c r="HT997" s="133"/>
      <c r="HU997" s="133"/>
      <c r="HV997" s="133"/>
      <c r="HW997" s="133"/>
      <c r="HX997" s="133"/>
      <c r="HY997" s="133"/>
      <c r="HZ997" s="133"/>
      <c r="IA997" s="133"/>
      <c r="IB997" s="133"/>
      <c r="IC997" s="133"/>
      <c r="ID997" s="133"/>
      <c r="IE997" s="133"/>
      <c r="IF997" s="133"/>
      <c r="IG997" s="133"/>
      <c r="IH997" s="133"/>
      <c r="II997" s="133"/>
      <c r="IJ997" s="133"/>
      <c r="IK997" s="133"/>
      <c r="IL997" s="133"/>
      <c r="IM997" s="133"/>
      <c r="IN997" s="133"/>
      <c r="IO997" s="133"/>
      <c r="IP997" s="133"/>
      <c r="IQ997" s="133"/>
      <c r="IR997" s="133"/>
      <c r="IS997" s="133"/>
      <c r="IT997" s="133"/>
      <c r="IU997" s="133"/>
      <c r="IV997" s="133"/>
    </row>
    <row r="998" spans="1:256" s="132" customFormat="1" ht="13.8">
      <c r="A998" s="133"/>
      <c r="B998" s="133"/>
      <c r="C998" s="133"/>
      <c r="D998" s="133"/>
      <c r="E998" s="133"/>
      <c r="F998" s="133"/>
      <c r="G998" s="133"/>
      <c r="H998" s="133"/>
      <c r="I998" s="133"/>
      <c r="J998" s="133"/>
      <c r="K998" s="133"/>
      <c r="L998" s="133"/>
      <c r="M998" s="133"/>
      <c r="N998" s="133"/>
      <c r="O998" s="133"/>
      <c r="P998" s="133"/>
      <c r="GE998" s="133"/>
      <c r="GF998" s="133"/>
      <c r="GG998" s="133"/>
      <c r="GH998" s="133"/>
      <c r="GI998" s="133"/>
      <c r="GJ998" s="133"/>
      <c r="GK998" s="133"/>
      <c r="GL998" s="133"/>
      <c r="GM998" s="133"/>
      <c r="GN998" s="133"/>
      <c r="GO998" s="133"/>
      <c r="GP998" s="133"/>
      <c r="GQ998" s="133"/>
      <c r="GR998" s="133"/>
      <c r="GS998" s="133"/>
      <c r="GT998" s="133"/>
      <c r="GU998" s="133"/>
      <c r="GV998" s="133"/>
      <c r="GW998" s="133"/>
      <c r="GX998" s="133"/>
      <c r="GY998" s="133"/>
      <c r="GZ998" s="133"/>
      <c r="HA998" s="133"/>
      <c r="HB998" s="133"/>
      <c r="HC998" s="133"/>
      <c r="HD998" s="133"/>
      <c r="HE998" s="133"/>
      <c r="HF998" s="133"/>
      <c r="HG998" s="133"/>
      <c r="HH998" s="133"/>
      <c r="HI998" s="133"/>
      <c r="HJ998" s="133"/>
      <c r="HK998" s="133"/>
      <c r="HL998" s="133"/>
      <c r="HM998" s="133"/>
      <c r="HN998" s="133"/>
      <c r="HO998" s="133"/>
      <c r="HP998" s="133"/>
      <c r="HQ998" s="133"/>
      <c r="HR998" s="133"/>
      <c r="HS998" s="133"/>
      <c r="HT998" s="133"/>
      <c r="HU998" s="133"/>
      <c r="HV998" s="133"/>
      <c r="HW998" s="133"/>
      <c r="HX998" s="133"/>
      <c r="HY998" s="133"/>
      <c r="HZ998" s="133"/>
      <c r="IA998" s="133"/>
      <c r="IB998" s="133"/>
      <c r="IC998" s="133"/>
      <c r="ID998" s="133"/>
      <c r="IE998" s="133"/>
      <c r="IF998" s="133"/>
      <c r="IG998" s="133"/>
      <c r="IH998" s="133"/>
      <c r="II998" s="133"/>
      <c r="IJ998" s="133"/>
      <c r="IK998" s="133"/>
      <c r="IL998" s="133"/>
      <c r="IM998" s="133"/>
      <c r="IN998" s="133"/>
      <c r="IO998" s="133"/>
      <c r="IP998" s="133"/>
      <c r="IQ998" s="133"/>
      <c r="IR998" s="133"/>
      <c r="IS998" s="133"/>
      <c r="IT998" s="133"/>
      <c r="IU998" s="133"/>
      <c r="IV998" s="133"/>
    </row>
    <row r="999" spans="1:256" s="132" customFormat="1" ht="13.8">
      <c r="A999" s="133"/>
      <c r="B999" s="133"/>
      <c r="C999" s="133"/>
      <c r="D999" s="133"/>
      <c r="E999" s="133"/>
      <c r="F999" s="133"/>
      <c r="G999" s="133"/>
      <c r="H999" s="133"/>
      <c r="I999" s="133"/>
      <c r="J999" s="133"/>
      <c r="K999" s="133"/>
      <c r="L999" s="133"/>
      <c r="M999" s="133"/>
      <c r="N999" s="133"/>
      <c r="O999" s="133"/>
      <c r="P999" s="133"/>
      <c r="GE999" s="133"/>
      <c r="GF999" s="133"/>
      <c r="GG999" s="133"/>
      <c r="GH999" s="133"/>
      <c r="GI999" s="133"/>
      <c r="GJ999" s="133"/>
      <c r="GK999" s="133"/>
      <c r="GL999" s="133"/>
      <c r="GM999" s="133"/>
      <c r="GN999" s="133"/>
      <c r="GO999" s="133"/>
      <c r="GP999" s="133"/>
      <c r="GQ999" s="133"/>
      <c r="GR999" s="133"/>
      <c r="GS999" s="133"/>
      <c r="GT999" s="133"/>
      <c r="GU999" s="133"/>
      <c r="GV999" s="133"/>
      <c r="GW999" s="133"/>
      <c r="GX999" s="133"/>
      <c r="GY999" s="133"/>
      <c r="GZ999" s="133"/>
      <c r="HA999" s="133"/>
      <c r="HB999" s="133"/>
      <c r="HC999" s="133"/>
      <c r="HD999" s="133"/>
      <c r="HE999" s="133"/>
      <c r="HF999" s="133"/>
      <c r="HG999" s="133"/>
      <c r="HH999" s="133"/>
      <c r="HI999" s="133"/>
      <c r="HJ999" s="133"/>
      <c r="HK999" s="133"/>
      <c r="HL999" s="133"/>
      <c r="HM999" s="133"/>
      <c r="HN999" s="133"/>
      <c r="HO999" s="133"/>
      <c r="HP999" s="133"/>
      <c r="HQ999" s="133"/>
      <c r="HR999" s="133"/>
      <c r="HS999" s="133"/>
      <c r="HT999" s="133"/>
      <c r="HU999" s="133"/>
      <c r="HV999" s="133"/>
      <c r="HW999" s="133"/>
      <c r="HX999" s="133"/>
      <c r="HY999" s="133"/>
      <c r="HZ999" s="133"/>
      <c r="IA999" s="133"/>
      <c r="IB999" s="133"/>
      <c r="IC999" s="133"/>
      <c r="ID999" s="133"/>
      <c r="IE999" s="133"/>
      <c r="IF999" s="133"/>
      <c r="IG999" s="133"/>
      <c r="IH999" s="133"/>
      <c r="II999" s="133"/>
      <c r="IJ999" s="133"/>
      <c r="IK999" s="133"/>
      <c r="IL999" s="133"/>
      <c r="IM999" s="133"/>
      <c r="IN999" s="133"/>
      <c r="IO999" s="133"/>
      <c r="IP999" s="133"/>
      <c r="IQ999" s="133"/>
      <c r="IR999" s="133"/>
      <c r="IS999" s="133"/>
      <c r="IT999" s="133"/>
      <c r="IU999" s="133"/>
      <c r="IV999" s="133"/>
    </row>
    <row r="1000" spans="1:256" s="132" customFormat="1" ht="13.8">
      <c r="A1000" s="133"/>
      <c r="B1000" s="133"/>
      <c r="C1000" s="133"/>
      <c r="D1000" s="133"/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  <c r="P1000" s="133"/>
      <c r="GE1000" s="133"/>
      <c r="GF1000" s="133"/>
      <c r="GG1000" s="133"/>
      <c r="GH1000" s="133"/>
      <c r="GI1000" s="133"/>
      <c r="GJ1000" s="133"/>
      <c r="GK1000" s="133"/>
      <c r="GL1000" s="133"/>
      <c r="GM1000" s="133"/>
      <c r="GN1000" s="133"/>
      <c r="GO1000" s="133"/>
      <c r="GP1000" s="133"/>
      <c r="GQ1000" s="133"/>
      <c r="GR1000" s="133"/>
      <c r="GS1000" s="133"/>
      <c r="GT1000" s="133"/>
      <c r="GU1000" s="133"/>
      <c r="GV1000" s="133"/>
      <c r="GW1000" s="133"/>
      <c r="GX1000" s="133"/>
      <c r="GY1000" s="133"/>
      <c r="GZ1000" s="133"/>
      <c r="HA1000" s="133"/>
      <c r="HB1000" s="133"/>
      <c r="HC1000" s="133"/>
      <c r="HD1000" s="133"/>
      <c r="HE1000" s="133"/>
      <c r="HF1000" s="133"/>
      <c r="HG1000" s="133"/>
      <c r="HH1000" s="133"/>
      <c r="HI1000" s="133"/>
      <c r="HJ1000" s="133"/>
      <c r="HK1000" s="133"/>
      <c r="HL1000" s="133"/>
      <c r="HM1000" s="133"/>
      <c r="HN1000" s="133"/>
      <c r="HO1000" s="133"/>
      <c r="HP1000" s="133"/>
      <c r="HQ1000" s="133"/>
      <c r="HR1000" s="133"/>
      <c r="HS1000" s="133"/>
      <c r="HT1000" s="133"/>
      <c r="HU1000" s="133"/>
      <c r="HV1000" s="133"/>
      <c r="HW1000" s="133"/>
      <c r="HX1000" s="133"/>
      <c r="HY1000" s="133"/>
      <c r="HZ1000" s="133"/>
      <c r="IA1000" s="133"/>
      <c r="IB1000" s="133"/>
      <c r="IC1000" s="133"/>
      <c r="ID1000" s="133"/>
      <c r="IE1000" s="133"/>
      <c r="IF1000" s="133"/>
      <c r="IG1000" s="133"/>
      <c r="IH1000" s="133"/>
      <c r="II1000" s="133"/>
      <c r="IJ1000" s="133"/>
      <c r="IK1000" s="133"/>
      <c r="IL1000" s="133"/>
      <c r="IM1000" s="133"/>
      <c r="IN1000" s="133"/>
      <c r="IO1000" s="133"/>
      <c r="IP1000" s="133"/>
      <c r="IQ1000" s="133"/>
      <c r="IR1000" s="133"/>
      <c r="IS1000" s="133"/>
      <c r="IT1000" s="133"/>
      <c r="IU1000" s="133"/>
      <c r="IV1000" s="133"/>
    </row>
    <row r="1001" spans="1:256" s="132" customFormat="1" ht="13.8">
      <c r="A1001" s="133"/>
      <c r="B1001" s="133"/>
      <c r="C1001" s="133"/>
      <c r="D1001" s="133"/>
      <c r="E1001" s="133"/>
      <c r="F1001" s="133"/>
      <c r="G1001" s="133"/>
      <c r="H1001" s="133"/>
      <c r="I1001" s="133"/>
      <c r="J1001" s="133"/>
      <c r="K1001" s="133"/>
      <c r="L1001" s="133"/>
      <c r="M1001" s="133"/>
      <c r="N1001" s="133"/>
      <c r="O1001" s="133"/>
      <c r="P1001" s="133"/>
      <c r="GE1001" s="133"/>
      <c r="GF1001" s="133"/>
      <c r="GG1001" s="133"/>
      <c r="GH1001" s="133"/>
      <c r="GI1001" s="133"/>
      <c r="GJ1001" s="133"/>
      <c r="GK1001" s="133"/>
      <c r="GL1001" s="133"/>
      <c r="GM1001" s="133"/>
      <c r="GN1001" s="133"/>
      <c r="GO1001" s="133"/>
      <c r="GP1001" s="133"/>
      <c r="GQ1001" s="133"/>
      <c r="GR1001" s="133"/>
      <c r="GS1001" s="133"/>
      <c r="GT1001" s="133"/>
      <c r="GU1001" s="133"/>
      <c r="GV1001" s="133"/>
      <c r="GW1001" s="133"/>
      <c r="GX1001" s="133"/>
      <c r="GY1001" s="133"/>
      <c r="GZ1001" s="133"/>
      <c r="HA1001" s="133"/>
      <c r="HB1001" s="133"/>
      <c r="HC1001" s="133"/>
      <c r="HD1001" s="133"/>
      <c r="HE1001" s="133"/>
      <c r="HF1001" s="133"/>
      <c r="HG1001" s="133"/>
      <c r="HH1001" s="133"/>
      <c r="HI1001" s="133"/>
      <c r="HJ1001" s="133"/>
      <c r="HK1001" s="133"/>
      <c r="HL1001" s="133"/>
      <c r="HM1001" s="133"/>
      <c r="HN1001" s="133"/>
      <c r="HO1001" s="133"/>
      <c r="HP1001" s="133"/>
      <c r="HQ1001" s="133"/>
      <c r="HR1001" s="133"/>
      <c r="HS1001" s="133"/>
      <c r="HT1001" s="133"/>
      <c r="HU1001" s="133"/>
      <c r="HV1001" s="133"/>
      <c r="HW1001" s="133"/>
      <c r="HX1001" s="133"/>
      <c r="HY1001" s="133"/>
      <c r="HZ1001" s="133"/>
      <c r="IA1001" s="133"/>
      <c r="IB1001" s="133"/>
      <c r="IC1001" s="133"/>
      <c r="ID1001" s="133"/>
      <c r="IE1001" s="133"/>
      <c r="IF1001" s="133"/>
      <c r="IG1001" s="133"/>
      <c r="IH1001" s="133"/>
      <c r="II1001" s="133"/>
      <c r="IJ1001" s="133"/>
      <c r="IK1001" s="133"/>
      <c r="IL1001" s="133"/>
      <c r="IM1001" s="133"/>
      <c r="IN1001" s="133"/>
      <c r="IO1001" s="133"/>
      <c r="IP1001" s="133"/>
      <c r="IQ1001" s="133"/>
      <c r="IR1001" s="133"/>
      <c r="IS1001" s="133"/>
      <c r="IT1001" s="133"/>
      <c r="IU1001" s="133"/>
      <c r="IV1001" s="133"/>
    </row>
    <row r="1002" spans="1:256" s="132" customFormat="1" ht="13.8">
      <c r="A1002" s="133"/>
      <c r="B1002" s="133"/>
      <c r="C1002" s="133"/>
      <c r="D1002" s="133"/>
      <c r="E1002" s="133"/>
      <c r="F1002" s="133"/>
      <c r="G1002" s="133"/>
      <c r="H1002" s="133"/>
      <c r="I1002" s="133"/>
      <c r="J1002" s="133"/>
      <c r="K1002" s="133"/>
      <c r="L1002" s="133"/>
      <c r="M1002" s="133"/>
      <c r="N1002" s="133"/>
      <c r="O1002" s="133"/>
      <c r="P1002" s="133"/>
      <c r="GE1002" s="133"/>
      <c r="GF1002" s="133"/>
      <c r="GG1002" s="133"/>
      <c r="GH1002" s="133"/>
      <c r="GI1002" s="133"/>
      <c r="GJ1002" s="133"/>
      <c r="GK1002" s="133"/>
      <c r="GL1002" s="133"/>
      <c r="GM1002" s="133"/>
      <c r="GN1002" s="133"/>
      <c r="GO1002" s="133"/>
      <c r="GP1002" s="133"/>
      <c r="GQ1002" s="133"/>
      <c r="GR1002" s="133"/>
      <c r="GS1002" s="133"/>
      <c r="GT1002" s="133"/>
      <c r="GU1002" s="133"/>
      <c r="GV1002" s="133"/>
      <c r="GW1002" s="133"/>
      <c r="GX1002" s="133"/>
      <c r="GY1002" s="133"/>
      <c r="GZ1002" s="133"/>
      <c r="HA1002" s="133"/>
      <c r="HB1002" s="133"/>
      <c r="HC1002" s="133"/>
      <c r="HD1002" s="133"/>
      <c r="HE1002" s="133"/>
      <c r="HF1002" s="133"/>
      <c r="HG1002" s="133"/>
      <c r="HH1002" s="133"/>
      <c r="HI1002" s="133"/>
      <c r="HJ1002" s="133"/>
      <c r="HK1002" s="133"/>
      <c r="HL1002" s="133"/>
      <c r="HM1002" s="133"/>
      <c r="HN1002" s="133"/>
      <c r="HO1002" s="133"/>
      <c r="HP1002" s="133"/>
      <c r="HQ1002" s="133"/>
      <c r="HR1002" s="133"/>
      <c r="HS1002" s="133"/>
      <c r="HT1002" s="133"/>
      <c r="HU1002" s="133"/>
      <c r="HV1002" s="133"/>
      <c r="HW1002" s="133"/>
      <c r="HX1002" s="133"/>
      <c r="HY1002" s="133"/>
      <c r="HZ1002" s="133"/>
      <c r="IA1002" s="133"/>
      <c r="IB1002" s="133"/>
      <c r="IC1002" s="133"/>
      <c r="ID1002" s="133"/>
      <c r="IE1002" s="133"/>
      <c r="IF1002" s="133"/>
      <c r="IG1002" s="133"/>
      <c r="IH1002" s="133"/>
      <c r="II1002" s="133"/>
      <c r="IJ1002" s="133"/>
      <c r="IK1002" s="133"/>
      <c r="IL1002" s="133"/>
      <c r="IM1002" s="133"/>
      <c r="IN1002" s="133"/>
      <c r="IO1002" s="133"/>
      <c r="IP1002" s="133"/>
      <c r="IQ1002" s="133"/>
      <c r="IR1002" s="133"/>
      <c r="IS1002" s="133"/>
      <c r="IT1002" s="133"/>
      <c r="IU1002" s="133"/>
      <c r="IV1002" s="133"/>
    </row>
    <row r="1003" spans="1:256" s="132" customFormat="1" ht="13.8">
      <c r="A1003" s="133"/>
      <c r="B1003" s="133"/>
      <c r="C1003" s="133"/>
      <c r="D1003" s="133"/>
      <c r="E1003" s="133"/>
      <c r="F1003" s="133"/>
      <c r="G1003" s="133"/>
      <c r="H1003" s="133"/>
      <c r="I1003" s="133"/>
      <c r="J1003" s="133"/>
      <c r="K1003" s="133"/>
      <c r="L1003" s="133"/>
      <c r="M1003" s="133"/>
      <c r="N1003" s="133"/>
      <c r="O1003" s="133"/>
      <c r="P1003" s="133"/>
      <c r="GE1003" s="133"/>
      <c r="GF1003" s="133"/>
      <c r="GG1003" s="133"/>
      <c r="GH1003" s="133"/>
      <c r="GI1003" s="133"/>
      <c r="GJ1003" s="133"/>
      <c r="GK1003" s="133"/>
      <c r="GL1003" s="133"/>
      <c r="GM1003" s="133"/>
      <c r="GN1003" s="133"/>
      <c r="GO1003" s="133"/>
      <c r="GP1003" s="133"/>
      <c r="GQ1003" s="133"/>
      <c r="GR1003" s="133"/>
      <c r="GS1003" s="133"/>
      <c r="GT1003" s="133"/>
      <c r="GU1003" s="133"/>
      <c r="GV1003" s="133"/>
      <c r="GW1003" s="133"/>
      <c r="GX1003" s="133"/>
      <c r="GY1003" s="133"/>
      <c r="GZ1003" s="133"/>
      <c r="HA1003" s="133"/>
      <c r="HB1003" s="133"/>
      <c r="HC1003" s="133"/>
      <c r="HD1003" s="133"/>
      <c r="HE1003" s="133"/>
      <c r="HF1003" s="133"/>
      <c r="HG1003" s="133"/>
      <c r="HH1003" s="133"/>
      <c r="HI1003" s="133"/>
      <c r="HJ1003" s="133"/>
      <c r="HK1003" s="133"/>
      <c r="HL1003" s="133"/>
      <c r="HM1003" s="133"/>
      <c r="HN1003" s="133"/>
      <c r="HO1003" s="133"/>
      <c r="HP1003" s="133"/>
      <c r="HQ1003" s="133"/>
      <c r="HR1003" s="133"/>
      <c r="HS1003" s="133"/>
      <c r="HT1003" s="133"/>
      <c r="HU1003" s="133"/>
      <c r="HV1003" s="133"/>
      <c r="HW1003" s="133"/>
      <c r="HX1003" s="133"/>
      <c r="HY1003" s="133"/>
      <c r="HZ1003" s="133"/>
      <c r="IA1003" s="133"/>
      <c r="IB1003" s="133"/>
      <c r="IC1003" s="133"/>
      <c r="ID1003" s="133"/>
      <c r="IE1003" s="133"/>
      <c r="IF1003" s="133"/>
      <c r="IG1003" s="133"/>
      <c r="IH1003" s="133"/>
      <c r="II1003" s="133"/>
      <c r="IJ1003" s="133"/>
      <c r="IK1003" s="133"/>
      <c r="IL1003" s="133"/>
      <c r="IM1003" s="133"/>
      <c r="IN1003" s="133"/>
      <c r="IO1003" s="133"/>
      <c r="IP1003" s="133"/>
      <c r="IQ1003" s="133"/>
      <c r="IR1003" s="133"/>
      <c r="IS1003" s="133"/>
      <c r="IT1003" s="133"/>
      <c r="IU1003" s="133"/>
      <c r="IV1003" s="133"/>
    </row>
    <row r="1004" spans="1:256" s="132" customFormat="1" ht="13.8">
      <c r="A1004" s="133"/>
      <c r="B1004" s="133"/>
      <c r="C1004" s="133"/>
      <c r="D1004" s="133"/>
      <c r="E1004" s="133"/>
      <c r="F1004" s="133"/>
      <c r="G1004" s="133"/>
      <c r="H1004" s="133"/>
      <c r="I1004" s="133"/>
      <c r="J1004" s="133"/>
      <c r="K1004" s="133"/>
      <c r="L1004" s="133"/>
      <c r="M1004" s="133"/>
      <c r="N1004" s="133"/>
      <c r="O1004" s="133"/>
      <c r="P1004" s="133"/>
      <c r="GE1004" s="133"/>
      <c r="GF1004" s="133"/>
      <c r="GG1004" s="133"/>
      <c r="GH1004" s="133"/>
      <c r="GI1004" s="133"/>
      <c r="GJ1004" s="133"/>
      <c r="GK1004" s="133"/>
      <c r="GL1004" s="133"/>
      <c r="GM1004" s="133"/>
      <c r="GN1004" s="133"/>
      <c r="GO1004" s="133"/>
      <c r="GP1004" s="133"/>
      <c r="GQ1004" s="133"/>
      <c r="GR1004" s="133"/>
      <c r="GS1004" s="133"/>
      <c r="GT1004" s="133"/>
      <c r="GU1004" s="133"/>
      <c r="GV1004" s="133"/>
      <c r="GW1004" s="133"/>
      <c r="GX1004" s="133"/>
      <c r="GY1004" s="133"/>
      <c r="GZ1004" s="133"/>
      <c r="HA1004" s="133"/>
      <c r="HB1004" s="133"/>
      <c r="HC1004" s="133"/>
      <c r="HD1004" s="133"/>
      <c r="HE1004" s="133"/>
      <c r="HF1004" s="133"/>
      <c r="HG1004" s="133"/>
      <c r="HH1004" s="133"/>
      <c r="HI1004" s="133"/>
      <c r="HJ1004" s="133"/>
      <c r="HK1004" s="133"/>
      <c r="HL1004" s="133"/>
      <c r="HM1004" s="133"/>
      <c r="HN1004" s="133"/>
      <c r="HO1004" s="133"/>
      <c r="HP1004" s="133"/>
      <c r="HQ1004" s="133"/>
      <c r="HR1004" s="133"/>
      <c r="HS1004" s="133"/>
      <c r="HT1004" s="133"/>
      <c r="HU1004" s="133"/>
      <c r="HV1004" s="133"/>
      <c r="HW1004" s="133"/>
      <c r="HX1004" s="133"/>
      <c r="HY1004" s="133"/>
      <c r="HZ1004" s="133"/>
      <c r="IA1004" s="133"/>
      <c r="IB1004" s="133"/>
      <c r="IC1004" s="133"/>
      <c r="ID1004" s="133"/>
      <c r="IE1004" s="133"/>
      <c r="IF1004" s="133"/>
      <c r="IG1004" s="133"/>
      <c r="IH1004" s="133"/>
      <c r="II1004" s="133"/>
      <c r="IJ1004" s="133"/>
      <c r="IK1004" s="133"/>
      <c r="IL1004" s="133"/>
      <c r="IM1004" s="133"/>
      <c r="IN1004" s="133"/>
      <c r="IO1004" s="133"/>
      <c r="IP1004" s="133"/>
      <c r="IQ1004" s="133"/>
      <c r="IR1004" s="133"/>
      <c r="IS1004" s="133"/>
      <c r="IT1004" s="133"/>
      <c r="IU1004" s="133"/>
      <c r="IV1004" s="133"/>
    </row>
    <row r="1005" spans="1:256" s="132" customFormat="1" ht="13.8">
      <c r="A1005" s="133"/>
      <c r="B1005" s="133"/>
      <c r="C1005" s="133"/>
      <c r="D1005" s="133"/>
      <c r="E1005" s="133"/>
      <c r="F1005" s="133"/>
      <c r="G1005" s="133"/>
      <c r="H1005" s="133"/>
      <c r="I1005" s="133"/>
      <c r="J1005" s="133"/>
      <c r="K1005" s="133"/>
      <c r="L1005" s="133"/>
      <c r="M1005" s="133"/>
      <c r="N1005" s="133"/>
      <c r="O1005" s="133"/>
      <c r="P1005" s="133"/>
      <c r="GE1005" s="133"/>
      <c r="GF1005" s="133"/>
      <c r="GG1005" s="133"/>
      <c r="GH1005" s="133"/>
      <c r="GI1005" s="133"/>
      <c r="GJ1005" s="133"/>
      <c r="GK1005" s="133"/>
      <c r="GL1005" s="133"/>
      <c r="GM1005" s="133"/>
      <c r="GN1005" s="133"/>
      <c r="GO1005" s="133"/>
      <c r="GP1005" s="133"/>
      <c r="GQ1005" s="133"/>
      <c r="GR1005" s="133"/>
      <c r="GS1005" s="133"/>
      <c r="GT1005" s="133"/>
      <c r="GU1005" s="133"/>
      <c r="GV1005" s="133"/>
      <c r="GW1005" s="133"/>
      <c r="GX1005" s="133"/>
      <c r="GY1005" s="133"/>
      <c r="GZ1005" s="133"/>
      <c r="HA1005" s="133"/>
      <c r="HB1005" s="133"/>
      <c r="HC1005" s="133"/>
      <c r="HD1005" s="133"/>
      <c r="HE1005" s="133"/>
      <c r="HF1005" s="133"/>
      <c r="HG1005" s="133"/>
      <c r="HH1005" s="133"/>
      <c r="HI1005" s="133"/>
      <c r="HJ1005" s="133"/>
      <c r="HK1005" s="133"/>
      <c r="HL1005" s="133"/>
      <c r="HM1005" s="133"/>
      <c r="HN1005" s="133"/>
      <c r="HO1005" s="133"/>
      <c r="HP1005" s="133"/>
      <c r="HQ1005" s="133"/>
      <c r="HR1005" s="133"/>
      <c r="HS1005" s="133"/>
      <c r="HT1005" s="133"/>
      <c r="HU1005" s="133"/>
      <c r="HV1005" s="133"/>
      <c r="HW1005" s="133"/>
      <c r="HX1005" s="133"/>
      <c r="HY1005" s="133"/>
      <c r="HZ1005" s="133"/>
      <c r="IA1005" s="133"/>
      <c r="IB1005" s="133"/>
      <c r="IC1005" s="133"/>
      <c r="ID1005" s="133"/>
      <c r="IE1005" s="133"/>
      <c r="IF1005" s="133"/>
      <c r="IG1005" s="133"/>
      <c r="IH1005" s="133"/>
      <c r="II1005" s="133"/>
      <c r="IJ1005" s="133"/>
      <c r="IK1005" s="133"/>
      <c r="IL1005" s="133"/>
      <c r="IM1005" s="133"/>
      <c r="IN1005" s="133"/>
      <c r="IO1005" s="133"/>
      <c r="IP1005" s="133"/>
      <c r="IQ1005" s="133"/>
      <c r="IR1005" s="133"/>
      <c r="IS1005" s="133"/>
      <c r="IT1005" s="133"/>
      <c r="IU1005" s="133"/>
      <c r="IV1005" s="133"/>
    </row>
    <row r="1006" spans="1:256" s="132" customFormat="1" ht="13.8">
      <c r="A1006" s="133"/>
      <c r="B1006" s="133"/>
      <c r="C1006" s="133"/>
      <c r="D1006" s="133"/>
      <c r="E1006" s="133"/>
      <c r="F1006" s="133"/>
      <c r="G1006" s="133"/>
      <c r="H1006" s="133"/>
      <c r="I1006" s="133"/>
      <c r="J1006" s="133"/>
      <c r="K1006" s="133"/>
      <c r="L1006" s="133"/>
      <c r="M1006" s="133"/>
      <c r="N1006" s="133"/>
      <c r="O1006" s="133"/>
      <c r="P1006" s="133"/>
      <c r="GE1006" s="133"/>
      <c r="GF1006" s="133"/>
      <c r="GG1006" s="133"/>
      <c r="GH1006" s="133"/>
      <c r="GI1006" s="133"/>
      <c r="GJ1006" s="133"/>
      <c r="GK1006" s="133"/>
      <c r="GL1006" s="133"/>
      <c r="GM1006" s="133"/>
      <c r="GN1006" s="133"/>
      <c r="GO1006" s="133"/>
      <c r="GP1006" s="133"/>
      <c r="GQ1006" s="133"/>
      <c r="GR1006" s="133"/>
      <c r="GS1006" s="133"/>
      <c r="GT1006" s="133"/>
      <c r="GU1006" s="133"/>
      <c r="GV1006" s="133"/>
      <c r="GW1006" s="133"/>
      <c r="GX1006" s="133"/>
      <c r="GY1006" s="133"/>
      <c r="GZ1006" s="133"/>
      <c r="HA1006" s="133"/>
      <c r="HB1006" s="133"/>
      <c r="HC1006" s="133"/>
      <c r="HD1006" s="133"/>
      <c r="HE1006" s="133"/>
      <c r="HF1006" s="133"/>
      <c r="HG1006" s="133"/>
      <c r="HH1006" s="133"/>
      <c r="HI1006" s="133"/>
      <c r="HJ1006" s="133"/>
      <c r="HK1006" s="133"/>
      <c r="HL1006" s="133"/>
      <c r="HM1006" s="133"/>
      <c r="HN1006" s="133"/>
      <c r="HO1006" s="133"/>
      <c r="HP1006" s="133"/>
      <c r="HQ1006" s="133"/>
      <c r="HR1006" s="133"/>
      <c r="HS1006" s="133"/>
      <c r="HT1006" s="133"/>
      <c r="HU1006" s="133"/>
      <c r="HV1006" s="133"/>
      <c r="HW1006" s="133"/>
      <c r="HX1006" s="133"/>
      <c r="HY1006" s="133"/>
      <c r="HZ1006" s="133"/>
      <c r="IA1006" s="133"/>
      <c r="IB1006" s="133"/>
      <c r="IC1006" s="133"/>
      <c r="ID1006" s="133"/>
      <c r="IE1006" s="133"/>
      <c r="IF1006" s="133"/>
      <c r="IG1006" s="133"/>
      <c r="IH1006" s="133"/>
      <c r="II1006" s="133"/>
      <c r="IJ1006" s="133"/>
      <c r="IK1006" s="133"/>
      <c r="IL1006" s="133"/>
      <c r="IM1006" s="133"/>
      <c r="IN1006" s="133"/>
      <c r="IO1006" s="133"/>
      <c r="IP1006" s="133"/>
      <c r="IQ1006" s="133"/>
      <c r="IR1006" s="133"/>
      <c r="IS1006" s="133"/>
      <c r="IT1006" s="133"/>
      <c r="IU1006" s="133"/>
      <c r="IV1006" s="133"/>
    </row>
    <row r="1007" spans="1:256" s="132" customFormat="1" ht="13.8">
      <c r="A1007" s="133"/>
      <c r="B1007" s="133"/>
      <c r="C1007" s="133"/>
      <c r="D1007" s="133"/>
      <c r="E1007" s="133"/>
      <c r="F1007" s="133"/>
      <c r="G1007" s="133"/>
      <c r="H1007" s="133"/>
      <c r="I1007" s="133"/>
      <c r="J1007" s="133"/>
      <c r="K1007" s="133"/>
      <c r="L1007" s="133"/>
      <c r="M1007" s="133"/>
      <c r="N1007" s="133"/>
      <c r="O1007" s="133"/>
      <c r="P1007" s="133"/>
      <c r="GE1007" s="133"/>
      <c r="GF1007" s="133"/>
      <c r="GG1007" s="133"/>
      <c r="GH1007" s="133"/>
      <c r="GI1007" s="133"/>
      <c r="GJ1007" s="133"/>
      <c r="GK1007" s="133"/>
      <c r="GL1007" s="133"/>
      <c r="GM1007" s="133"/>
      <c r="GN1007" s="133"/>
      <c r="GO1007" s="133"/>
      <c r="GP1007" s="133"/>
      <c r="GQ1007" s="133"/>
      <c r="GR1007" s="133"/>
      <c r="GS1007" s="133"/>
      <c r="GT1007" s="133"/>
      <c r="GU1007" s="133"/>
      <c r="GV1007" s="133"/>
      <c r="GW1007" s="133"/>
      <c r="GX1007" s="133"/>
      <c r="GY1007" s="133"/>
      <c r="GZ1007" s="133"/>
      <c r="HA1007" s="133"/>
      <c r="HB1007" s="133"/>
      <c r="HC1007" s="133"/>
      <c r="HD1007" s="133"/>
      <c r="HE1007" s="133"/>
      <c r="HF1007" s="133"/>
      <c r="HG1007" s="133"/>
      <c r="HH1007" s="133"/>
      <c r="HI1007" s="133"/>
      <c r="HJ1007" s="133"/>
      <c r="HK1007" s="133"/>
      <c r="HL1007" s="133"/>
      <c r="HM1007" s="133"/>
      <c r="HN1007" s="133"/>
      <c r="HO1007" s="133"/>
      <c r="HP1007" s="133"/>
      <c r="HQ1007" s="133"/>
      <c r="HR1007" s="133"/>
      <c r="HS1007" s="133"/>
      <c r="HT1007" s="133"/>
      <c r="HU1007" s="133"/>
      <c r="HV1007" s="133"/>
      <c r="HW1007" s="133"/>
      <c r="HX1007" s="133"/>
      <c r="HY1007" s="133"/>
      <c r="HZ1007" s="133"/>
      <c r="IA1007" s="133"/>
      <c r="IB1007" s="133"/>
      <c r="IC1007" s="133"/>
      <c r="ID1007" s="133"/>
      <c r="IE1007" s="133"/>
      <c r="IF1007" s="133"/>
      <c r="IG1007" s="133"/>
      <c r="IH1007" s="133"/>
      <c r="II1007" s="133"/>
      <c r="IJ1007" s="133"/>
      <c r="IK1007" s="133"/>
      <c r="IL1007" s="133"/>
      <c r="IM1007" s="133"/>
      <c r="IN1007" s="133"/>
      <c r="IO1007" s="133"/>
      <c r="IP1007" s="133"/>
      <c r="IQ1007" s="133"/>
      <c r="IR1007" s="133"/>
      <c r="IS1007" s="133"/>
      <c r="IT1007" s="133"/>
      <c r="IU1007" s="133"/>
      <c r="IV1007" s="133"/>
    </row>
    <row r="1008" spans="1:256" s="132" customFormat="1" ht="13.8">
      <c r="A1008" s="133"/>
      <c r="B1008" s="133"/>
      <c r="C1008" s="133"/>
      <c r="D1008" s="133"/>
      <c r="E1008" s="133"/>
      <c r="F1008" s="133"/>
      <c r="G1008" s="133"/>
      <c r="H1008" s="133"/>
      <c r="I1008" s="133"/>
      <c r="J1008" s="133"/>
      <c r="K1008" s="133"/>
      <c r="L1008" s="133"/>
      <c r="M1008" s="133"/>
      <c r="N1008" s="133"/>
      <c r="O1008" s="133"/>
      <c r="P1008" s="133"/>
      <c r="GE1008" s="133"/>
      <c r="GF1008" s="133"/>
      <c r="GG1008" s="133"/>
      <c r="GH1008" s="133"/>
      <c r="GI1008" s="133"/>
      <c r="GJ1008" s="133"/>
      <c r="GK1008" s="133"/>
      <c r="GL1008" s="133"/>
      <c r="GM1008" s="133"/>
      <c r="GN1008" s="133"/>
      <c r="GO1008" s="133"/>
      <c r="GP1008" s="133"/>
      <c r="GQ1008" s="133"/>
      <c r="GR1008" s="133"/>
      <c r="GS1008" s="133"/>
      <c r="GT1008" s="133"/>
      <c r="GU1008" s="133"/>
      <c r="GV1008" s="133"/>
      <c r="GW1008" s="133"/>
      <c r="GX1008" s="133"/>
      <c r="GY1008" s="133"/>
      <c r="GZ1008" s="133"/>
      <c r="HA1008" s="133"/>
      <c r="HB1008" s="133"/>
      <c r="HC1008" s="133"/>
      <c r="HD1008" s="133"/>
      <c r="HE1008" s="133"/>
      <c r="HF1008" s="133"/>
      <c r="HG1008" s="133"/>
      <c r="HH1008" s="133"/>
      <c r="HI1008" s="133"/>
      <c r="HJ1008" s="133"/>
      <c r="HK1008" s="133"/>
      <c r="HL1008" s="133"/>
      <c r="HM1008" s="133"/>
      <c r="HN1008" s="133"/>
      <c r="HO1008" s="133"/>
      <c r="HP1008" s="133"/>
      <c r="HQ1008" s="133"/>
      <c r="HR1008" s="133"/>
      <c r="HS1008" s="133"/>
      <c r="HT1008" s="133"/>
      <c r="HU1008" s="133"/>
      <c r="HV1008" s="133"/>
      <c r="HW1008" s="133"/>
      <c r="HX1008" s="133"/>
      <c r="HY1008" s="133"/>
      <c r="HZ1008" s="133"/>
      <c r="IA1008" s="133"/>
      <c r="IB1008" s="133"/>
      <c r="IC1008" s="133"/>
      <c r="ID1008" s="133"/>
      <c r="IE1008" s="133"/>
      <c r="IF1008" s="133"/>
      <c r="IG1008" s="133"/>
      <c r="IH1008" s="133"/>
      <c r="II1008" s="133"/>
      <c r="IJ1008" s="133"/>
      <c r="IK1008" s="133"/>
      <c r="IL1008" s="133"/>
      <c r="IM1008" s="133"/>
      <c r="IN1008" s="133"/>
      <c r="IO1008" s="133"/>
      <c r="IP1008" s="133"/>
      <c r="IQ1008" s="133"/>
      <c r="IR1008" s="133"/>
      <c r="IS1008" s="133"/>
      <c r="IT1008" s="133"/>
      <c r="IU1008" s="133"/>
      <c r="IV1008" s="133"/>
    </row>
    <row r="1009" spans="1:256" s="132" customFormat="1" ht="13.8">
      <c r="A1009" s="133"/>
      <c r="B1009" s="133"/>
      <c r="C1009" s="133"/>
      <c r="D1009" s="133"/>
      <c r="E1009" s="133"/>
      <c r="F1009" s="133"/>
      <c r="G1009" s="133"/>
      <c r="H1009" s="133"/>
      <c r="I1009" s="133"/>
      <c r="J1009" s="133"/>
      <c r="K1009" s="133"/>
      <c r="L1009" s="133"/>
      <c r="M1009" s="133"/>
      <c r="N1009" s="133"/>
      <c r="O1009" s="133"/>
      <c r="P1009" s="133"/>
      <c r="GE1009" s="133"/>
      <c r="GF1009" s="133"/>
      <c r="GG1009" s="133"/>
      <c r="GH1009" s="133"/>
      <c r="GI1009" s="133"/>
      <c r="GJ1009" s="133"/>
      <c r="GK1009" s="133"/>
      <c r="GL1009" s="133"/>
      <c r="GM1009" s="133"/>
      <c r="GN1009" s="133"/>
      <c r="GO1009" s="133"/>
      <c r="GP1009" s="133"/>
      <c r="GQ1009" s="133"/>
      <c r="GR1009" s="133"/>
      <c r="GS1009" s="133"/>
      <c r="GT1009" s="133"/>
      <c r="GU1009" s="133"/>
      <c r="GV1009" s="133"/>
      <c r="GW1009" s="133"/>
      <c r="GX1009" s="133"/>
      <c r="GY1009" s="133"/>
      <c r="GZ1009" s="133"/>
      <c r="HA1009" s="133"/>
      <c r="HB1009" s="133"/>
      <c r="HC1009" s="133"/>
      <c r="HD1009" s="133"/>
      <c r="HE1009" s="133"/>
      <c r="HF1009" s="133"/>
      <c r="HG1009" s="133"/>
      <c r="HH1009" s="133"/>
      <c r="HI1009" s="133"/>
      <c r="HJ1009" s="133"/>
      <c r="HK1009" s="133"/>
      <c r="HL1009" s="133"/>
      <c r="HM1009" s="133"/>
      <c r="HN1009" s="133"/>
      <c r="HO1009" s="133"/>
      <c r="HP1009" s="133"/>
      <c r="HQ1009" s="133"/>
      <c r="HR1009" s="133"/>
      <c r="HS1009" s="133"/>
      <c r="HT1009" s="133"/>
      <c r="HU1009" s="133"/>
      <c r="HV1009" s="133"/>
      <c r="HW1009" s="133"/>
      <c r="HX1009" s="133"/>
      <c r="HY1009" s="133"/>
      <c r="HZ1009" s="133"/>
      <c r="IA1009" s="133"/>
      <c r="IB1009" s="133"/>
      <c r="IC1009" s="133"/>
      <c r="ID1009" s="133"/>
      <c r="IE1009" s="133"/>
      <c r="IF1009" s="133"/>
      <c r="IG1009" s="133"/>
      <c r="IH1009" s="133"/>
      <c r="II1009" s="133"/>
      <c r="IJ1009" s="133"/>
      <c r="IK1009" s="133"/>
      <c r="IL1009" s="133"/>
      <c r="IM1009" s="133"/>
      <c r="IN1009" s="133"/>
      <c r="IO1009" s="133"/>
      <c r="IP1009" s="133"/>
      <c r="IQ1009" s="133"/>
      <c r="IR1009" s="133"/>
      <c r="IS1009" s="133"/>
      <c r="IT1009" s="133"/>
      <c r="IU1009" s="133"/>
      <c r="IV1009" s="133"/>
    </row>
    <row r="1010" spans="1:256" s="132" customFormat="1" ht="13.8">
      <c r="A1010" s="133"/>
      <c r="B1010" s="133"/>
      <c r="C1010" s="133"/>
      <c r="D1010" s="133"/>
      <c r="E1010" s="133"/>
      <c r="F1010" s="133"/>
      <c r="G1010" s="133"/>
      <c r="H1010" s="133"/>
      <c r="I1010" s="133"/>
      <c r="J1010" s="133"/>
      <c r="K1010" s="133"/>
      <c r="L1010" s="133"/>
      <c r="M1010" s="133"/>
      <c r="N1010" s="133"/>
      <c r="O1010" s="133"/>
      <c r="P1010" s="133"/>
      <c r="GE1010" s="133"/>
      <c r="GF1010" s="133"/>
      <c r="GG1010" s="133"/>
      <c r="GH1010" s="133"/>
      <c r="GI1010" s="133"/>
      <c r="GJ1010" s="133"/>
      <c r="GK1010" s="133"/>
      <c r="GL1010" s="133"/>
      <c r="GM1010" s="133"/>
      <c r="GN1010" s="133"/>
      <c r="GO1010" s="133"/>
      <c r="GP1010" s="133"/>
      <c r="GQ1010" s="133"/>
      <c r="GR1010" s="133"/>
      <c r="GS1010" s="133"/>
      <c r="GT1010" s="133"/>
      <c r="GU1010" s="133"/>
      <c r="GV1010" s="133"/>
      <c r="GW1010" s="133"/>
      <c r="GX1010" s="133"/>
      <c r="GY1010" s="133"/>
      <c r="GZ1010" s="133"/>
      <c r="HA1010" s="133"/>
      <c r="HB1010" s="133"/>
      <c r="HC1010" s="133"/>
      <c r="HD1010" s="133"/>
      <c r="HE1010" s="133"/>
      <c r="HF1010" s="133"/>
      <c r="HG1010" s="133"/>
      <c r="HH1010" s="133"/>
      <c r="HI1010" s="133"/>
      <c r="HJ1010" s="133"/>
      <c r="HK1010" s="133"/>
      <c r="HL1010" s="133"/>
      <c r="HM1010" s="133"/>
      <c r="HN1010" s="133"/>
      <c r="HO1010" s="133"/>
      <c r="HP1010" s="133"/>
      <c r="HQ1010" s="133"/>
      <c r="HR1010" s="133"/>
      <c r="HS1010" s="133"/>
      <c r="HT1010" s="133"/>
      <c r="HU1010" s="133"/>
      <c r="HV1010" s="133"/>
      <c r="HW1010" s="133"/>
      <c r="HX1010" s="133"/>
      <c r="HY1010" s="133"/>
      <c r="HZ1010" s="133"/>
      <c r="IA1010" s="133"/>
      <c r="IB1010" s="133"/>
      <c r="IC1010" s="133"/>
      <c r="ID1010" s="133"/>
      <c r="IE1010" s="133"/>
      <c r="IF1010" s="133"/>
      <c r="IG1010" s="133"/>
      <c r="IH1010" s="133"/>
      <c r="II1010" s="133"/>
      <c r="IJ1010" s="133"/>
      <c r="IK1010" s="133"/>
      <c r="IL1010" s="133"/>
      <c r="IM1010" s="133"/>
      <c r="IN1010" s="133"/>
      <c r="IO1010" s="133"/>
      <c r="IP1010" s="133"/>
      <c r="IQ1010" s="133"/>
      <c r="IR1010" s="133"/>
      <c r="IS1010" s="133"/>
      <c r="IT1010" s="133"/>
      <c r="IU1010" s="133"/>
      <c r="IV1010" s="133"/>
    </row>
    <row r="1011" spans="1:256" s="132" customFormat="1" ht="13.8">
      <c r="A1011" s="133"/>
      <c r="B1011" s="133"/>
      <c r="C1011" s="133"/>
      <c r="D1011" s="133"/>
      <c r="E1011" s="133"/>
      <c r="F1011" s="133"/>
      <c r="G1011" s="133"/>
      <c r="H1011" s="133"/>
      <c r="I1011" s="133"/>
      <c r="J1011" s="133"/>
      <c r="K1011" s="133"/>
      <c r="L1011" s="133"/>
      <c r="M1011" s="133"/>
      <c r="N1011" s="133"/>
      <c r="O1011" s="133"/>
      <c r="P1011" s="133"/>
      <c r="GE1011" s="133"/>
      <c r="GF1011" s="133"/>
      <c r="GG1011" s="133"/>
      <c r="GH1011" s="133"/>
      <c r="GI1011" s="133"/>
      <c r="GJ1011" s="133"/>
      <c r="GK1011" s="133"/>
      <c r="GL1011" s="133"/>
      <c r="GM1011" s="133"/>
      <c r="GN1011" s="133"/>
      <c r="GO1011" s="133"/>
      <c r="GP1011" s="133"/>
      <c r="GQ1011" s="133"/>
      <c r="GR1011" s="133"/>
      <c r="GS1011" s="133"/>
      <c r="GT1011" s="133"/>
      <c r="GU1011" s="133"/>
      <c r="GV1011" s="133"/>
      <c r="GW1011" s="133"/>
      <c r="GX1011" s="133"/>
      <c r="GY1011" s="133"/>
      <c r="GZ1011" s="133"/>
      <c r="HA1011" s="133"/>
      <c r="HB1011" s="133"/>
      <c r="HC1011" s="133"/>
      <c r="HD1011" s="133"/>
      <c r="HE1011" s="133"/>
      <c r="HF1011" s="133"/>
      <c r="HG1011" s="133"/>
      <c r="HH1011" s="133"/>
      <c r="HI1011" s="133"/>
      <c r="HJ1011" s="133"/>
      <c r="HK1011" s="133"/>
      <c r="HL1011" s="133"/>
      <c r="HM1011" s="133"/>
      <c r="HN1011" s="133"/>
      <c r="HO1011" s="133"/>
      <c r="HP1011" s="133"/>
      <c r="HQ1011" s="133"/>
      <c r="HR1011" s="133"/>
      <c r="HS1011" s="133"/>
      <c r="HT1011" s="133"/>
      <c r="HU1011" s="133"/>
      <c r="HV1011" s="133"/>
      <c r="HW1011" s="133"/>
      <c r="HX1011" s="133"/>
      <c r="HY1011" s="133"/>
      <c r="HZ1011" s="133"/>
      <c r="IA1011" s="133"/>
      <c r="IB1011" s="133"/>
      <c r="IC1011" s="133"/>
      <c r="ID1011" s="133"/>
      <c r="IE1011" s="133"/>
      <c r="IF1011" s="133"/>
      <c r="IG1011" s="133"/>
      <c r="IH1011" s="133"/>
      <c r="II1011" s="133"/>
      <c r="IJ1011" s="133"/>
      <c r="IK1011" s="133"/>
      <c r="IL1011" s="133"/>
      <c r="IM1011" s="133"/>
      <c r="IN1011" s="133"/>
      <c r="IO1011" s="133"/>
      <c r="IP1011" s="133"/>
      <c r="IQ1011" s="133"/>
      <c r="IR1011" s="133"/>
      <c r="IS1011" s="133"/>
      <c r="IT1011" s="133"/>
      <c r="IU1011" s="133"/>
      <c r="IV1011" s="133"/>
    </row>
    <row r="1012" spans="1:256" s="132" customFormat="1" ht="13.8">
      <c r="A1012" s="133"/>
      <c r="B1012" s="133"/>
      <c r="C1012" s="133"/>
      <c r="D1012" s="133"/>
      <c r="E1012" s="133"/>
      <c r="F1012" s="133"/>
      <c r="G1012" s="133"/>
      <c r="H1012" s="133"/>
      <c r="I1012" s="133"/>
      <c r="J1012" s="133"/>
      <c r="K1012" s="133"/>
      <c r="L1012" s="133"/>
      <c r="M1012" s="133"/>
      <c r="N1012" s="133"/>
      <c r="O1012" s="133"/>
      <c r="P1012" s="133"/>
      <c r="GE1012" s="133"/>
      <c r="GF1012" s="133"/>
      <c r="GG1012" s="133"/>
      <c r="GH1012" s="133"/>
      <c r="GI1012" s="133"/>
      <c r="GJ1012" s="133"/>
      <c r="GK1012" s="133"/>
      <c r="GL1012" s="133"/>
      <c r="GM1012" s="133"/>
      <c r="GN1012" s="133"/>
      <c r="GO1012" s="133"/>
      <c r="GP1012" s="133"/>
      <c r="GQ1012" s="133"/>
      <c r="GR1012" s="133"/>
      <c r="GS1012" s="133"/>
      <c r="GT1012" s="133"/>
      <c r="GU1012" s="133"/>
      <c r="GV1012" s="133"/>
      <c r="GW1012" s="133"/>
      <c r="GX1012" s="133"/>
      <c r="GY1012" s="133"/>
      <c r="GZ1012" s="133"/>
      <c r="HA1012" s="133"/>
      <c r="HB1012" s="133"/>
      <c r="HC1012" s="133"/>
      <c r="HD1012" s="133"/>
      <c r="HE1012" s="133"/>
      <c r="HF1012" s="133"/>
      <c r="HG1012" s="133"/>
      <c r="HH1012" s="133"/>
      <c r="HI1012" s="133"/>
      <c r="HJ1012" s="133"/>
      <c r="HK1012" s="133"/>
      <c r="HL1012" s="133"/>
      <c r="HM1012" s="133"/>
      <c r="HN1012" s="133"/>
      <c r="HO1012" s="133"/>
      <c r="HP1012" s="133"/>
      <c r="HQ1012" s="133"/>
      <c r="HR1012" s="133"/>
      <c r="HS1012" s="133"/>
      <c r="HT1012" s="133"/>
      <c r="HU1012" s="133"/>
      <c r="HV1012" s="133"/>
      <c r="HW1012" s="133"/>
      <c r="HX1012" s="133"/>
      <c r="HY1012" s="133"/>
      <c r="HZ1012" s="133"/>
      <c r="IA1012" s="133"/>
      <c r="IB1012" s="133"/>
      <c r="IC1012" s="133"/>
      <c r="ID1012" s="133"/>
      <c r="IE1012" s="133"/>
      <c r="IF1012" s="133"/>
      <c r="IG1012" s="133"/>
      <c r="IH1012" s="133"/>
      <c r="II1012" s="133"/>
      <c r="IJ1012" s="133"/>
      <c r="IK1012" s="133"/>
      <c r="IL1012" s="133"/>
      <c r="IM1012" s="133"/>
      <c r="IN1012" s="133"/>
      <c r="IO1012" s="133"/>
      <c r="IP1012" s="133"/>
      <c r="IQ1012" s="133"/>
      <c r="IR1012" s="133"/>
      <c r="IS1012" s="133"/>
      <c r="IT1012" s="133"/>
      <c r="IU1012" s="133"/>
      <c r="IV1012" s="133"/>
    </row>
    <row r="1013" spans="1:256" s="132" customFormat="1" ht="13.8">
      <c r="A1013" s="133"/>
      <c r="B1013" s="133"/>
      <c r="C1013" s="133"/>
      <c r="D1013" s="133"/>
      <c r="E1013" s="133"/>
      <c r="F1013" s="133"/>
      <c r="G1013" s="133"/>
      <c r="H1013" s="133"/>
      <c r="I1013" s="133"/>
      <c r="J1013" s="133"/>
      <c r="K1013" s="133"/>
      <c r="L1013" s="133"/>
      <c r="M1013" s="133"/>
      <c r="N1013" s="133"/>
      <c r="O1013" s="133"/>
      <c r="P1013" s="133"/>
      <c r="GE1013" s="133"/>
      <c r="GF1013" s="133"/>
      <c r="GG1013" s="133"/>
      <c r="GH1013" s="133"/>
      <c r="GI1013" s="133"/>
      <c r="GJ1013" s="133"/>
      <c r="GK1013" s="133"/>
      <c r="GL1013" s="133"/>
      <c r="GM1013" s="133"/>
      <c r="GN1013" s="133"/>
      <c r="GO1013" s="133"/>
      <c r="GP1013" s="133"/>
      <c r="GQ1013" s="133"/>
      <c r="GR1013" s="133"/>
      <c r="GS1013" s="133"/>
      <c r="GT1013" s="133"/>
      <c r="GU1013" s="133"/>
      <c r="GV1013" s="133"/>
      <c r="GW1013" s="133"/>
      <c r="GX1013" s="133"/>
      <c r="GY1013" s="133"/>
      <c r="GZ1013" s="133"/>
      <c r="HA1013" s="133"/>
      <c r="HB1013" s="133"/>
      <c r="HC1013" s="133"/>
      <c r="HD1013" s="133"/>
      <c r="HE1013" s="133"/>
      <c r="HF1013" s="133"/>
      <c r="HG1013" s="133"/>
      <c r="HH1013" s="133"/>
      <c r="HI1013" s="133"/>
      <c r="HJ1013" s="133"/>
      <c r="HK1013" s="133"/>
      <c r="HL1013" s="133"/>
      <c r="HM1013" s="133"/>
      <c r="HN1013" s="133"/>
      <c r="HO1013" s="133"/>
      <c r="HP1013" s="133"/>
      <c r="HQ1013" s="133"/>
      <c r="HR1013" s="133"/>
      <c r="HS1013" s="133"/>
      <c r="HT1013" s="133"/>
      <c r="HU1013" s="133"/>
      <c r="HV1013" s="133"/>
      <c r="HW1013" s="133"/>
      <c r="HX1013" s="133"/>
      <c r="HY1013" s="133"/>
      <c r="HZ1013" s="133"/>
      <c r="IA1013" s="133"/>
      <c r="IB1013" s="133"/>
      <c r="IC1013" s="133"/>
      <c r="ID1013" s="133"/>
      <c r="IE1013" s="133"/>
      <c r="IF1013" s="133"/>
      <c r="IG1013" s="133"/>
      <c r="IH1013" s="133"/>
      <c r="II1013" s="133"/>
      <c r="IJ1013" s="133"/>
      <c r="IK1013" s="133"/>
      <c r="IL1013" s="133"/>
      <c r="IM1013" s="133"/>
      <c r="IN1013" s="133"/>
      <c r="IO1013" s="133"/>
      <c r="IP1013" s="133"/>
      <c r="IQ1013" s="133"/>
      <c r="IR1013" s="133"/>
      <c r="IS1013" s="133"/>
      <c r="IT1013" s="133"/>
      <c r="IU1013" s="133"/>
      <c r="IV1013" s="133"/>
    </row>
    <row r="1014" spans="1:256" s="132" customFormat="1" ht="13.8">
      <c r="A1014" s="133"/>
      <c r="B1014" s="133"/>
      <c r="C1014" s="133"/>
      <c r="D1014" s="133"/>
      <c r="E1014" s="133"/>
      <c r="F1014" s="133"/>
      <c r="G1014" s="133"/>
      <c r="H1014" s="133"/>
      <c r="I1014" s="133"/>
      <c r="J1014" s="133"/>
      <c r="K1014" s="133"/>
      <c r="L1014" s="133"/>
      <c r="M1014" s="133"/>
      <c r="N1014" s="133"/>
      <c r="O1014" s="133"/>
      <c r="P1014" s="133"/>
      <c r="GE1014" s="133"/>
      <c r="GF1014" s="133"/>
      <c r="GG1014" s="133"/>
      <c r="GH1014" s="133"/>
      <c r="GI1014" s="133"/>
      <c r="GJ1014" s="133"/>
      <c r="GK1014" s="133"/>
      <c r="GL1014" s="133"/>
      <c r="GM1014" s="133"/>
      <c r="GN1014" s="133"/>
      <c r="GO1014" s="133"/>
      <c r="GP1014" s="133"/>
      <c r="GQ1014" s="133"/>
      <c r="GR1014" s="133"/>
      <c r="GS1014" s="133"/>
      <c r="GT1014" s="133"/>
      <c r="GU1014" s="133"/>
      <c r="GV1014" s="133"/>
      <c r="GW1014" s="133"/>
      <c r="GX1014" s="133"/>
      <c r="GY1014" s="133"/>
      <c r="GZ1014" s="133"/>
      <c r="HA1014" s="133"/>
      <c r="HB1014" s="133"/>
      <c r="HC1014" s="133"/>
      <c r="HD1014" s="133"/>
      <c r="HE1014" s="133"/>
      <c r="HF1014" s="133"/>
      <c r="HG1014" s="133"/>
      <c r="HH1014" s="133"/>
      <c r="HI1014" s="133"/>
      <c r="HJ1014" s="133"/>
      <c r="HK1014" s="133"/>
      <c r="HL1014" s="133"/>
      <c r="HM1014" s="133"/>
      <c r="HN1014" s="133"/>
      <c r="HO1014" s="133"/>
      <c r="HP1014" s="133"/>
      <c r="HQ1014" s="133"/>
      <c r="HR1014" s="133"/>
      <c r="HS1014" s="133"/>
      <c r="HT1014" s="133"/>
      <c r="HU1014" s="133"/>
      <c r="HV1014" s="133"/>
      <c r="HW1014" s="133"/>
      <c r="HX1014" s="133"/>
      <c r="HY1014" s="133"/>
      <c r="HZ1014" s="133"/>
      <c r="IA1014" s="133"/>
      <c r="IB1014" s="133"/>
      <c r="IC1014" s="133"/>
      <c r="ID1014" s="133"/>
      <c r="IE1014" s="133"/>
      <c r="IF1014" s="133"/>
      <c r="IG1014" s="133"/>
      <c r="IH1014" s="133"/>
      <c r="II1014" s="133"/>
      <c r="IJ1014" s="133"/>
      <c r="IK1014" s="133"/>
      <c r="IL1014" s="133"/>
      <c r="IM1014" s="133"/>
      <c r="IN1014" s="133"/>
      <c r="IO1014" s="133"/>
      <c r="IP1014" s="133"/>
      <c r="IQ1014" s="133"/>
      <c r="IR1014" s="133"/>
      <c r="IS1014" s="133"/>
      <c r="IT1014" s="133"/>
      <c r="IU1014" s="133"/>
      <c r="IV1014" s="133"/>
    </row>
    <row r="1015" spans="1:256" s="132" customFormat="1" ht="13.8">
      <c r="A1015" s="133"/>
      <c r="B1015" s="133"/>
      <c r="C1015" s="133"/>
      <c r="D1015" s="133"/>
      <c r="E1015" s="133"/>
      <c r="F1015" s="133"/>
      <c r="G1015" s="133"/>
      <c r="H1015" s="133"/>
      <c r="I1015" s="133"/>
      <c r="J1015" s="133"/>
      <c r="K1015" s="133"/>
      <c r="L1015" s="133"/>
      <c r="M1015" s="133"/>
      <c r="N1015" s="133"/>
      <c r="O1015" s="133"/>
      <c r="P1015" s="133"/>
      <c r="GE1015" s="133"/>
      <c r="GF1015" s="133"/>
      <c r="GG1015" s="133"/>
      <c r="GH1015" s="133"/>
      <c r="GI1015" s="133"/>
      <c r="GJ1015" s="133"/>
      <c r="GK1015" s="133"/>
      <c r="GL1015" s="133"/>
      <c r="GM1015" s="133"/>
      <c r="GN1015" s="133"/>
      <c r="GO1015" s="133"/>
      <c r="GP1015" s="133"/>
      <c r="GQ1015" s="133"/>
      <c r="GR1015" s="133"/>
      <c r="GS1015" s="133"/>
      <c r="GT1015" s="133"/>
      <c r="GU1015" s="133"/>
      <c r="GV1015" s="133"/>
      <c r="GW1015" s="133"/>
      <c r="GX1015" s="133"/>
      <c r="GY1015" s="133"/>
      <c r="GZ1015" s="133"/>
      <c r="HA1015" s="133"/>
      <c r="HB1015" s="133"/>
      <c r="HC1015" s="133"/>
      <c r="HD1015" s="133"/>
      <c r="HE1015" s="133"/>
      <c r="HF1015" s="133"/>
      <c r="HG1015" s="133"/>
      <c r="HH1015" s="133"/>
      <c r="HI1015" s="133"/>
      <c r="HJ1015" s="133"/>
      <c r="HK1015" s="133"/>
      <c r="HL1015" s="133"/>
      <c r="HM1015" s="133"/>
      <c r="HN1015" s="133"/>
      <c r="HO1015" s="133"/>
      <c r="HP1015" s="133"/>
      <c r="HQ1015" s="133"/>
      <c r="HR1015" s="133"/>
      <c r="HS1015" s="133"/>
      <c r="HT1015" s="133"/>
      <c r="HU1015" s="133"/>
      <c r="HV1015" s="133"/>
      <c r="HW1015" s="133"/>
      <c r="HX1015" s="133"/>
      <c r="HY1015" s="133"/>
      <c r="HZ1015" s="133"/>
      <c r="IA1015" s="133"/>
      <c r="IB1015" s="133"/>
      <c r="IC1015" s="133"/>
      <c r="ID1015" s="133"/>
      <c r="IE1015" s="133"/>
      <c r="IF1015" s="133"/>
      <c r="IG1015" s="133"/>
      <c r="IH1015" s="133"/>
      <c r="II1015" s="133"/>
      <c r="IJ1015" s="133"/>
      <c r="IK1015" s="133"/>
      <c r="IL1015" s="133"/>
      <c r="IM1015" s="133"/>
      <c r="IN1015" s="133"/>
      <c r="IO1015" s="133"/>
      <c r="IP1015" s="133"/>
      <c r="IQ1015" s="133"/>
      <c r="IR1015" s="133"/>
      <c r="IS1015" s="133"/>
      <c r="IT1015" s="133"/>
      <c r="IU1015" s="133"/>
      <c r="IV1015" s="133"/>
    </row>
    <row r="1016" spans="1:256" s="132" customFormat="1" ht="13.8">
      <c r="A1016" s="133"/>
      <c r="B1016" s="133"/>
      <c r="C1016" s="133"/>
      <c r="D1016" s="133"/>
      <c r="E1016" s="133"/>
      <c r="F1016" s="133"/>
      <c r="G1016" s="133"/>
      <c r="H1016" s="133"/>
      <c r="I1016" s="133"/>
      <c r="J1016" s="133"/>
      <c r="K1016" s="133"/>
      <c r="L1016" s="133"/>
      <c r="M1016" s="133"/>
      <c r="N1016" s="133"/>
      <c r="O1016" s="133"/>
      <c r="P1016" s="133"/>
      <c r="GE1016" s="133"/>
      <c r="GF1016" s="133"/>
      <c r="GG1016" s="133"/>
      <c r="GH1016" s="133"/>
      <c r="GI1016" s="133"/>
      <c r="GJ1016" s="133"/>
      <c r="GK1016" s="133"/>
      <c r="GL1016" s="133"/>
      <c r="GM1016" s="133"/>
      <c r="GN1016" s="133"/>
      <c r="GO1016" s="133"/>
      <c r="GP1016" s="133"/>
      <c r="GQ1016" s="133"/>
      <c r="GR1016" s="133"/>
      <c r="GS1016" s="133"/>
      <c r="GT1016" s="133"/>
      <c r="GU1016" s="133"/>
      <c r="GV1016" s="133"/>
      <c r="GW1016" s="133"/>
      <c r="GX1016" s="133"/>
      <c r="GY1016" s="133"/>
      <c r="GZ1016" s="133"/>
      <c r="HA1016" s="133"/>
      <c r="HB1016" s="133"/>
      <c r="HC1016" s="133"/>
      <c r="HD1016" s="133"/>
      <c r="HE1016" s="133"/>
      <c r="HF1016" s="133"/>
      <c r="HG1016" s="133"/>
      <c r="HH1016" s="133"/>
      <c r="HI1016" s="133"/>
      <c r="HJ1016" s="133"/>
      <c r="HK1016" s="133"/>
      <c r="HL1016" s="133"/>
      <c r="HM1016" s="133"/>
      <c r="HN1016" s="133"/>
      <c r="HO1016" s="133"/>
      <c r="HP1016" s="133"/>
      <c r="HQ1016" s="133"/>
      <c r="HR1016" s="133"/>
      <c r="HS1016" s="133"/>
      <c r="HT1016" s="133"/>
      <c r="HU1016" s="133"/>
      <c r="HV1016" s="133"/>
      <c r="HW1016" s="133"/>
      <c r="HX1016" s="133"/>
      <c r="HY1016" s="133"/>
      <c r="HZ1016" s="133"/>
      <c r="IA1016" s="133"/>
      <c r="IB1016" s="133"/>
      <c r="IC1016" s="133"/>
      <c r="ID1016" s="133"/>
      <c r="IE1016" s="133"/>
      <c r="IF1016" s="133"/>
      <c r="IG1016" s="133"/>
      <c r="IH1016" s="133"/>
      <c r="II1016" s="133"/>
      <c r="IJ1016" s="133"/>
      <c r="IK1016" s="133"/>
      <c r="IL1016" s="133"/>
      <c r="IM1016" s="133"/>
      <c r="IN1016" s="133"/>
      <c r="IO1016" s="133"/>
      <c r="IP1016" s="133"/>
      <c r="IQ1016" s="133"/>
      <c r="IR1016" s="133"/>
      <c r="IS1016" s="133"/>
      <c r="IT1016" s="133"/>
      <c r="IU1016" s="133"/>
      <c r="IV1016" s="133"/>
    </row>
    <row r="1017" spans="1:256" s="132" customFormat="1" ht="13.8">
      <c r="A1017" s="133"/>
      <c r="B1017" s="133"/>
      <c r="C1017" s="133"/>
      <c r="D1017" s="133"/>
      <c r="E1017" s="133"/>
      <c r="F1017" s="133"/>
      <c r="G1017" s="133"/>
      <c r="H1017" s="133"/>
      <c r="I1017" s="133"/>
      <c r="J1017" s="133"/>
      <c r="K1017" s="133"/>
      <c r="L1017" s="133"/>
      <c r="M1017" s="133"/>
      <c r="N1017" s="133"/>
      <c r="O1017" s="133"/>
      <c r="P1017" s="133"/>
      <c r="GE1017" s="133"/>
      <c r="GF1017" s="133"/>
      <c r="GG1017" s="133"/>
      <c r="GH1017" s="133"/>
      <c r="GI1017" s="133"/>
      <c r="GJ1017" s="133"/>
      <c r="GK1017" s="133"/>
      <c r="GL1017" s="133"/>
      <c r="GM1017" s="133"/>
      <c r="GN1017" s="133"/>
      <c r="GO1017" s="133"/>
      <c r="GP1017" s="133"/>
      <c r="GQ1017" s="133"/>
      <c r="GR1017" s="133"/>
      <c r="GS1017" s="133"/>
      <c r="GT1017" s="133"/>
      <c r="GU1017" s="133"/>
      <c r="GV1017" s="133"/>
      <c r="GW1017" s="133"/>
      <c r="GX1017" s="133"/>
      <c r="GY1017" s="133"/>
      <c r="GZ1017" s="133"/>
      <c r="HA1017" s="133"/>
      <c r="HB1017" s="133"/>
      <c r="HC1017" s="133"/>
      <c r="HD1017" s="133"/>
      <c r="HE1017" s="133"/>
      <c r="HF1017" s="133"/>
      <c r="HG1017" s="133"/>
      <c r="HH1017" s="133"/>
      <c r="HI1017" s="133"/>
      <c r="HJ1017" s="133"/>
      <c r="HK1017" s="133"/>
      <c r="HL1017" s="133"/>
      <c r="HM1017" s="133"/>
      <c r="HN1017" s="133"/>
      <c r="HO1017" s="133"/>
      <c r="HP1017" s="133"/>
      <c r="HQ1017" s="133"/>
      <c r="HR1017" s="133"/>
      <c r="HS1017" s="133"/>
      <c r="HT1017" s="133"/>
      <c r="HU1017" s="133"/>
      <c r="HV1017" s="133"/>
      <c r="HW1017" s="133"/>
      <c r="HX1017" s="133"/>
      <c r="HY1017" s="133"/>
      <c r="HZ1017" s="133"/>
      <c r="IA1017" s="133"/>
      <c r="IB1017" s="133"/>
      <c r="IC1017" s="133"/>
      <c r="ID1017" s="133"/>
      <c r="IE1017" s="133"/>
      <c r="IF1017" s="133"/>
      <c r="IG1017" s="133"/>
      <c r="IH1017" s="133"/>
      <c r="II1017" s="133"/>
      <c r="IJ1017" s="133"/>
      <c r="IK1017" s="133"/>
      <c r="IL1017" s="133"/>
      <c r="IM1017" s="133"/>
      <c r="IN1017" s="133"/>
      <c r="IO1017" s="133"/>
      <c r="IP1017" s="133"/>
      <c r="IQ1017" s="133"/>
      <c r="IR1017" s="133"/>
      <c r="IS1017" s="133"/>
      <c r="IT1017" s="133"/>
      <c r="IU1017" s="133"/>
      <c r="IV1017" s="133"/>
    </row>
    <row r="1018" spans="1:256" s="132" customFormat="1" ht="13.8">
      <c r="A1018" s="133"/>
      <c r="B1018" s="133"/>
      <c r="C1018" s="133"/>
      <c r="D1018" s="133"/>
      <c r="E1018" s="133"/>
      <c r="F1018" s="133"/>
      <c r="G1018" s="133"/>
      <c r="H1018" s="133"/>
      <c r="I1018" s="133"/>
      <c r="J1018" s="133"/>
      <c r="K1018" s="133"/>
      <c r="L1018" s="133"/>
      <c r="M1018" s="133"/>
      <c r="N1018" s="133"/>
      <c r="O1018" s="133"/>
      <c r="P1018" s="133"/>
      <c r="GE1018" s="133"/>
      <c r="GF1018" s="133"/>
      <c r="GG1018" s="133"/>
      <c r="GH1018" s="133"/>
      <c r="GI1018" s="133"/>
      <c r="GJ1018" s="133"/>
      <c r="GK1018" s="133"/>
      <c r="GL1018" s="133"/>
      <c r="GM1018" s="133"/>
      <c r="GN1018" s="133"/>
      <c r="GO1018" s="133"/>
      <c r="GP1018" s="133"/>
      <c r="GQ1018" s="133"/>
      <c r="GR1018" s="133"/>
      <c r="GS1018" s="133"/>
      <c r="GT1018" s="133"/>
      <c r="GU1018" s="133"/>
      <c r="GV1018" s="133"/>
      <c r="GW1018" s="133"/>
      <c r="GX1018" s="133"/>
      <c r="GY1018" s="133"/>
      <c r="GZ1018" s="133"/>
      <c r="HA1018" s="133"/>
      <c r="HB1018" s="133"/>
      <c r="HC1018" s="133"/>
      <c r="HD1018" s="133"/>
      <c r="HE1018" s="133"/>
      <c r="HF1018" s="133"/>
      <c r="HG1018" s="133"/>
      <c r="HH1018" s="133"/>
      <c r="HI1018" s="133"/>
      <c r="HJ1018" s="133"/>
      <c r="HK1018" s="133"/>
      <c r="HL1018" s="133"/>
      <c r="HM1018" s="133"/>
      <c r="HN1018" s="133"/>
      <c r="HO1018" s="133"/>
      <c r="HP1018" s="133"/>
      <c r="HQ1018" s="133"/>
      <c r="HR1018" s="133"/>
      <c r="HS1018" s="133"/>
      <c r="HT1018" s="133"/>
      <c r="HU1018" s="133"/>
      <c r="HV1018" s="133"/>
      <c r="HW1018" s="133"/>
      <c r="HX1018" s="133"/>
      <c r="HY1018" s="133"/>
      <c r="HZ1018" s="133"/>
      <c r="IA1018" s="133"/>
      <c r="IB1018" s="133"/>
      <c r="IC1018" s="133"/>
      <c r="ID1018" s="133"/>
      <c r="IE1018" s="133"/>
      <c r="IF1018" s="133"/>
      <c r="IG1018" s="133"/>
      <c r="IH1018" s="133"/>
      <c r="II1018" s="133"/>
      <c r="IJ1018" s="133"/>
      <c r="IK1018" s="133"/>
      <c r="IL1018" s="133"/>
      <c r="IM1018" s="133"/>
      <c r="IN1018" s="133"/>
      <c r="IO1018" s="133"/>
      <c r="IP1018" s="133"/>
      <c r="IQ1018" s="133"/>
      <c r="IR1018" s="133"/>
      <c r="IS1018" s="133"/>
      <c r="IT1018" s="133"/>
      <c r="IU1018" s="133"/>
      <c r="IV1018" s="133"/>
    </row>
    <row r="1019" spans="1:256" s="132" customFormat="1" ht="13.8">
      <c r="A1019" s="133"/>
      <c r="B1019" s="133"/>
      <c r="C1019" s="133"/>
      <c r="D1019" s="133"/>
      <c r="E1019" s="133"/>
      <c r="F1019" s="133"/>
      <c r="G1019" s="133"/>
      <c r="H1019" s="133"/>
      <c r="I1019" s="133"/>
      <c r="J1019" s="133"/>
      <c r="K1019" s="133"/>
      <c r="L1019" s="133"/>
      <c r="M1019" s="133"/>
      <c r="N1019" s="133"/>
      <c r="O1019" s="133"/>
      <c r="P1019" s="133"/>
      <c r="GE1019" s="133"/>
      <c r="GF1019" s="133"/>
      <c r="GG1019" s="133"/>
      <c r="GH1019" s="133"/>
      <c r="GI1019" s="133"/>
      <c r="GJ1019" s="133"/>
      <c r="GK1019" s="133"/>
      <c r="GL1019" s="133"/>
      <c r="GM1019" s="133"/>
      <c r="GN1019" s="133"/>
      <c r="GO1019" s="133"/>
      <c r="GP1019" s="133"/>
      <c r="GQ1019" s="133"/>
      <c r="GR1019" s="133"/>
      <c r="GS1019" s="133"/>
      <c r="GT1019" s="133"/>
      <c r="GU1019" s="133"/>
      <c r="GV1019" s="133"/>
      <c r="GW1019" s="133"/>
      <c r="GX1019" s="133"/>
      <c r="GY1019" s="133"/>
      <c r="GZ1019" s="133"/>
      <c r="HA1019" s="133"/>
      <c r="HB1019" s="133"/>
      <c r="HC1019" s="133"/>
      <c r="HD1019" s="133"/>
      <c r="HE1019" s="133"/>
      <c r="HF1019" s="133"/>
      <c r="HG1019" s="133"/>
      <c r="HH1019" s="133"/>
      <c r="HI1019" s="133"/>
      <c r="HJ1019" s="133"/>
      <c r="HK1019" s="133"/>
      <c r="HL1019" s="133"/>
      <c r="HM1019" s="133"/>
      <c r="HN1019" s="133"/>
      <c r="HO1019" s="133"/>
      <c r="HP1019" s="133"/>
      <c r="HQ1019" s="133"/>
      <c r="HR1019" s="133"/>
      <c r="HS1019" s="133"/>
      <c r="HT1019" s="133"/>
      <c r="HU1019" s="133"/>
      <c r="HV1019" s="133"/>
      <c r="HW1019" s="133"/>
      <c r="HX1019" s="133"/>
      <c r="HY1019" s="133"/>
      <c r="HZ1019" s="133"/>
      <c r="IA1019" s="133"/>
      <c r="IB1019" s="133"/>
      <c r="IC1019" s="133"/>
      <c r="ID1019" s="133"/>
      <c r="IE1019" s="133"/>
      <c r="IF1019" s="133"/>
      <c r="IG1019" s="133"/>
      <c r="IH1019" s="133"/>
      <c r="II1019" s="133"/>
      <c r="IJ1019" s="133"/>
      <c r="IK1019" s="133"/>
      <c r="IL1019" s="133"/>
      <c r="IM1019" s="133"/>
      <c r="IN1019" s="133"/>
      <c r="IO1019" s="133"/>
      <c r="IP1019" s="133"/>
      <c r="IQ1019" s="133"/>
      <c r="IR1019" s="133"/>
      <c r="IS1019" s="133"/>
      <c r="IT1019" s="133"/>
      <c r="IU1019" s="133"/>
      <c r="IV1019" s="133"/>
    </row>
    <row r="1020" spans="1:256" s="132" customFormat="1" ht="13.8">
      <c r="A1020" s="133"/>
      <c r="B1020" s="133"/>
      <c r="C1020" s="133"/>
      <c r="D1020" s="133"/>
      <c r="E1020" s="133"/>
      <c r="F1020" s="133"/>
      <c r="G1020" s="133"/>
      <c r="H1020" s="133"/>
      <c r="I1020" s="133"/>
      <c r="J1020" s="133"/>
      <c r="K1020" s="133"/>
      <c r="L1020" s="133"/>
      <c r="M1020" s="133"/>
      <c r="N1020" s="133"/>
      <c r="O1020" s="133"/>
      <c r="P1020" s="133"/>
      <c r="GE1020" s="133"/>
      <c r="GF1020" s="133"/>
      <c r="GG1020" s="133"/>
      <c r="GH1020" s="133"/>
      <c r="GI1020" s="133"/>
      <c r="GJ1020" s="133"/>
      <c r="GK1020" s="133"/>
      <c r="GL1020" s="133"/>
      <c r="GM1020" s="133"/>
      <c r="GN1020" s="133"/>
      <c r="GO1020" s="133"/>
      <c r="GP1020" s="133"/>
      <c r="GQ1020" s="133"/>
      <c r="GR1020" s="133"/>
      <c r="GS1020" s="133"/>
      <c r="GT1020" s="133"/>
      <c r="GU1020" s="133"/>
      <c r="GV1020" s="133"/>
      <c r="GW1020" s="133"/>
      <c r="GX1020" s="133"/>
      <c r="GY1020" s="133"/>
      <c r="GZ1020" s="133"/>
      <c r="HA1020" s="133"/>
      <c r="HB1020" s="133"/>
      <c r="HC1020" s="133"/>
      <c r="HD1020" s="133"/>
      <c r="HE1020" s="133"/>
      <c r="HF1020" s="133"/>
      <c r="HG1020" s="133"/>
      <c r="HH1020" s="133"/>
      <c r="HI1020" s="133"/>
      <c r="HJ1020" s="133"/>
      <c r="HK1020" s="133"/>
      <c r="HL1020" s="133"/>
      <c r="HM1020" s="133"/>
      <c r="HN1020" s="133"/>
      <c r="HO1020" s="133"/>
      <c r="HP1020" s="133"/>
      <c r="HQ1020" s="133"/>
      <c r="HR1020" s="133"/>
      <c r="HS1020" s="133"/>
      <c r="HT1020" s="133"/>
      <c r="HU1020" s="133"/>
      <c r="HV1020" s="133"/>
      <c r="HW1020" s="133"/>
      <c r="HX1020" s="133"/>
      <c r="HY1020" s="133"/>
      <c r="HZ1020" s="133"/>
      <c r="IA1020" s="133"/>
      <c r="IB1020" s="133"/>
      <c r="IC1020" s="133"/>
      <c r="ID1020" s="133"/>
      <c r="IE1020" s="133"/>
      <c r="IF1020" s="133"/>
      <c r="IG1020" s="133"/>
      <c r="IH1020" s="133"/>
      <c r="II1020" s="133"/>
      <c r="IJ1020" s="133"/>
      <c r="IK1020" s="133"/>
      <c r="IL1020" s="133"/>
      <c r="IM1020" s="133"/>
      <c r="IN1020" s="133"/>
      <c r="IO1020" s="133"/>
      <c r="IP1020" s="133"/>
      <c r="IQ1020" s="133"/>
      <c r="IR1020" s="133"/>
      <c r="IS1020" s="133"/>
      <c r="IT1020" s="133"/>
      <c r="IU1020" s="133"/>
      <c r="IV1020" s="133"/>
    </row>
    <row r="1021" spans="1:256" s="132" customFormat="1" ht="13.8">
      <c r="A1021" s="133"/>
      <c r="B1021" s="133"/>
      <c r="C1021" s="133"/>
      <c r="D1021" s="133"/>
      <c r="E1021" s="133"/>
      <c r="F1021" s="133"/>
      <c r="G1021" s="133"/>
      <c r="H1021" s="133"/>
      <c r="I1021" s="133"/>
      <c r="J1021" s="133"/>
      <c r="K1021" s="133"/>
      <c r="L1021" s="133"/>
      <c r="M1021" s="133"/>
      <c r="N1021" s="133"/>
      <c r="O1021" s="133"/>
      <c r="P1021" s="133"/>
      <c r="GE1021" s="133"/>
      <c r="GF1021" s="133"/>
      <c r="GG1021" s="133"/>
      <c r="GH1021" s="133"/>
      <c r="GI1021" s="133"/>
      <c r="GJ1021" s="133"/>
      <c r="GK1021" s="133"/>
      <c r="GL1021" s="133"/>
      <c r="GM1021" s="133"/>
      <c r="GN1021" s="133"/>
      <c r="GO1021" s="133"/>
      <c r="GP1021" s="133"/>
      <c r="GQ1021" s="133"/>
      <c r="GR1021" s="133"/>
      <c r="GS1021" s="133"/>
      <c r="GT1021" s="133"/>
      <c r="GU1021" s="133"/>
      <c r="GV1021" s="133"/>
      <c r="GW1021" s="133"/>
      <c r="GX1021" s="133"/>
      <c r="GY1021" s="133"/>
      <c r="GZ1021" s="133"/>
      <c r="HA1021" s="133"/>
      <c r="HB1021" s="133"/>
      <c r="HC1021" s="133"/>
      <c r="HD1021" s="133"/>
      <c r="HE1021" s="133"/>
      <c r="HF1021" s="133"/>
      <c r="HG1021" s="133"/>
      <c r="HH1021" s="133"/>
      <c r="HI1021" s="133"/>
      <c r="HJ1021" s="133"/>
      <c r="HK1021" s="133"/>
      <c r="HL1021" s="133"/>
      <c r="HM1021" s="133"/>
      <c r="HN1021" s="133"/>
      <c r="HO1021" s="133"/>
      <c r="HP1021" s="133"/>
      <c r="HQ1021" s="133"/>
      <c r="HR1021" s="133"/>
      <c r="HS1021" s="133"/>
      <c r="HT1021" s="133"/>
      <c r="HU1021" s="133"/>
      <c r="HV1021" s="133"/>
      <c r="HW1021" s="133"/>
      <c r="HX1021" s="133"/>
      <c r="HY1021" s="133"/>
      <c r="HZ1021" s="133"/>
      <c r="IA1021" s="133"/>
      <c r="IB1021" s="133"/>
      <c r="IC1021" s="133"/>
      <c r="ID1021" s="133"/>
      <c r="IE1021" s="133"/>
      <c r="IF1021" s="133"/>
      <c r="IG1021" s="133"/>
      <c r="IH1021" s="133"/>
      <c r="II1021" s="133"/>
      <c r="IJ1021" s="133"/>
      <c r="IK1021" s="133"/>
      <c r="IL1021" s="133"/>
      <c r="IM1021" s="133"/>
      <c r="IN1021" s="133"/>
      <c r="IO1021" s="133"/>
      <c r="IP1021" s="133"/>
      <c r="IQ1021" s="133"/>
      <c r="IR1021" s="133"/>
      <c r="IS1021" s="133"/>
      <c r="IT1021" s="133"/>
      <c r="IU1021" s="133"/>
      <c r="IV1021" s="133"/>
    </row>
    <row r="1022" spans="1:256" s="132" customFormat="1" ht="13.8">
      <c r="A1022" s="133"/>
      <c r="B1022" s="133"/>
      <c r="C1022" s="133"/>
      <c r="D1022" s="133"/>
      <c r="E1022" s="133"/>
      <c r="F1022" s="133"/>
      <c r="G1022" s="133"/>
      <c r="H1022" s="133"/>
      <c r="I1022" s="133"/>
      <c r="J1022" s="133"/>
      <c r="K1022" s="133"/>
      <c r="L1022" s="133"/>
      <c r="M1022" s="133"/>
      <c r="N1022" s="133"/>
      <c r="O1022" s="133"/>
      <c r="P1022" s="133"/>
      <c r="GE1022" s="133"/>
      <c r="GF1022" s="133"/>
      <c r="GG1022" s="133"/>
      <c r="GH1022" s="133"/>
      <c r="GI1022" s="133"/>
      <c r="GJ1022" s="133"/>
      <c r="GK1022" s="133"/>
      <c r="GL1022" s="133"/>
      <c r="GM1022" s="133"/>
      <c r="GN1022" s="133"/>
      <c r="GO1022" s="133"/>
      <c r="GP1022" s="133"/>
      <c r="GQ1022" s="133"/>
      <c r="GR1022" s="133"/>
      <c r="GS1022" s="133"/>
      <c r="GT1022" s="133"/>
      <c r="GU1022" s="133"/>
      <c r="GV1022" s="133"/>
      <c r="GW1022" s="133"/>
      <c r="GX1022" s="133"/>
      <c r="GY1022" s="133"/>
      <c r="GZ1022" s="133"/>
      <c r="HA1022" s="133"/>
      <c r="HB1022" s="133"/>
      <c r="HC1022" s="133"/>
      <c r="HD1022" s="133"/>
      <c r="HE1022" s="133"/>
      <c r="HF1022" s="133"/>
      <c r="HG1022" s="133"/>
      <c r="HH1022" s="133"/>
      <c r="HI1022" s="133"/>
      <c r="HJ1022" s="133"/>
      <c r="HK1022" s="133"/>
      <c r="HL1022" s="133"/>
      <c r="HM1022" s="133"/>
      <c r="HN1022" s="133"/>
      <c r="HO1022" s="133"/>
      <c r="HP1022" s="133"/>
      <c r="HQ1022" s="133"/>
      <c r="HR1022" s="133"/>
      <c r="HS1022" s="133"/>
      <c r="HT1022" s="133"/>
      <c r="HU1022" s="133"/>
      <c r="HV1022" s="133"/>
      <c r="HW1022" s="133"/>
      <c r="HX1022" s="133"/>
      <c r="HY1022" s="133"/>
      <c r="HZ1022" s="133"/>
      <c r="IA1022" s="133"/>
      <c r="IB1022" s="133"/>
      <c r="IC1022" s="133"/>
      <c r="ID1022" s="133"/>
      <c r="IE1022" s="133"/>
      <c r="IF1022" s="133"/>
      <c r="IG1022" s="133"/>
      <c r="IH1022" s="133"/>
      <c r="II1022" s="133"/>
      <c r="IJ1022" s="133"/>
      <c r="IK1022" s="133"/>
      <c r="IL1022" s="133"/>
      <c r="IM1022" s="133"/>
      <c r="IN1022" s="133"/>
      <c r="IO1022" s="133"/>
      <c r="IP1022" s="133"/>
      <c r="IQ1022" s="133"/>
      <c r="IR1022" s="133"/>
      <c r="IS1022" s="133"/>
      <c r="IT1022" s="133"/>
      <c r="IU1022" s="133"/>
      <c r="IV1022" s="133"/>
    </row>
    <row r="1023" spans="1:256" s="132" customFormat="1" ht="13.8">
      <c r="A1023" s="133"/>
      <c r="B1023" s="133"/>
      <c r="C1023" s="133"/>
      <c r="D1023" s="133"/>
      <c r="E1023" s="133"/>
      <c r="F1023" s="133"/>
      <c r="G1023" s="133"/>
      <c r="H1023" s="133"/>
      <c r="I1023" s="133"/>
      <c r="J1023" s="133"/>
      <c r="K1023" s="133"/>
      <c r="L1023" s="133"/>
      <c r="M1023" s="133"/>
      <c r="N1023" s="133"/>
      <c r="O1023" s="133"/>
      <c r="P1023" s="133"/>
      <c r="GE1023" s="133"/>
      <c r="GF1023" s="133"/>
      <c r="GG1023" s="133"/>
      <c r="GH1023" s="133"/>
      <c r="GI1023" s="133"/>
      <c r="GJ1023" s="133"/>
      <c r="GK1023" s="133"/>
      <c r="GL1023" s="133"/>
      <c r="GM1023" s="133"/>
      <c r="GN1023" s="133"/>
      <c r="GO1023" s="133"/>
      <c r="GP1023" s="133"/>
      <c r="GQ1023" s="133"/>
      <c r="GR1023" s="133"/>
      <c r="GS1023" s="133"/>
      <c r="GT1023" s="133"/>
      <c r="GU1023" s="133"/>
      <c r="GV1023" s="133"/>
      <c r="GW1023" s="133"/>
      <c r="GX1023" s="133"/>
      <c r="GY1023" s="133"/>
      <c r="GZ1023" s="133"/>
      <c r="HA1023" s="133"/>
      <c r="HB1023" s="133"/>
      <c r="HC1023" s="133"/>
      <c r="HD1023" s="133"/>
      <c r="HE1023" s="133"/>
      <c r="HF1023" s="133"/>
      <c r="HG1023" s="133"/>
      <c r="HH1023" s="133"/>
      <c r="HI1023" s="133"/>
      <c r="HJ1023" s="133"/>
      <c r="HK1023" s="133"/>
      <c r="HL1023" s="133"/>
      <c r="HM1023" s="133"/>
      <c r="HN1023" s="133"/>
      <c r="HO1023" s="133"/>
      <c r="HP1023" s="133"/>
      <c r="HQ1023" s="133"/>
      <c r="HR1023" s="133"/>
      <c r="HS1023" s="133"/>
      <c r="HT1023" s="133"/>
      <c r="HU1023" s="133"/>
      <c r="HV1023" s="133"/>
      <c r="HW1023" s="133"/>
      <c r="HX1023" s="133"/>
      <c r="HY1023" s="133"/>
      <c r="HZ1023" s="133"/>
      <c r="IA1023" s="133"/>
      <c r="IB1023" s="133"/>
      <c r="IC1023" s="133"/>
      <c r="ID1023" s="133"/>
      <c r="IE1023" s="133"/>
      <c r="IF1023" s="133"/>
      <c r="IG1023" s="133"/>
      <c r="IH1023" s="133"/>
      <c r="II1023" s="133"/>
      <c r="IJ1023" s="133"/>
      <c r="IK1023" s="133"/>
      <c r="IL1023" s="133"/>
      <c r="IM1023" s="133"/>
      <c r="IN1023" s="133"/>
      <c r="IO1023" s="133"/>
      <c r="IP1023" s="133"/>
      <c r="IQ1023" s="133"/>
      <c r="IR1023" s="133"/>
      <c r="IS1023" s="133"/>
      <c r="IT1023" s="133"/>
      <c r="IU1023" s="133"/>
      <c r="IV1023" s="133"/>
    </row>
    <row r="1024" spans="1:256" s="132" customFormat="1" ht="13.8">
      <c r="A1024" s="133"/>
      <c r="B1024" s="133"/>
      <c r="C1024" s="133"/>
      <c r="D1024" s="133"/>
      <c r="E1024" s="133"/>
      <c r="F1024" s="133"/>
      <c r="G1024" s="133"/>
      <c r="H1024" s="133"/>
      <c r="I1024" s="133"/>
      <c r="J1024" s="133"/>
      <c r="K1024" s="133"/>
      <c r="L1024" s="133"/>
      <c r="M1024" s="133"/>
      <c r="N1024" s="133"/>
      <c r="O1024" s="133"/>
      <c r="P1024" s="133"/>
      <c r="GE1024" s="133"/>
      <c r="GF1024" s="133"/>
      <c r="GG1024" s="133"/>
      <c r="GH1024" s="133"/>
      <c r="GI1024" s="133"/>
      <c r="GJ1024" s="133"/>
      <c r="GK1024" s="133"/>
      <c r="GL1024" s="133"/>
      <c r="GM1024" s="133"/>
      <c r="GN1024" s="133"/>
      <c r="GO1024" s="133"/>
      <c r="GP1024" s="133"/>
      <c r="GQ1024" s="133"/>
      <c r="GR1024" s="133"/>
      <c r="GS1024" s="133"/>
      <c r="GT1024" s="133"/>
      <c r="GU1024" s="133"/>
      <c r="GV1024" s="133"/>
      <c r="GW1024" s="133"/>
      <c r="GX1024" s="133"/>
      <c r="GY1024" s="133"/>
      <c r="GZ1024" s="133"/>
      <c r="HA1024" s="133"/>
      <c r="HB1024" s="133"/>
      <c r="HC1024" s="133"/>
      <c r="HD1024" s="133"/>
      <c r="HE1024" s="133"/>
      <c r="HF1024" s="133"/>
      <c r="HG1024" s="133"/>
      <c r="HH1024" s="133"/>
      <c r="HI1024" s="133"/>
      <c r="HJ1024" s="133"/>
      <c r="HK1024" s="133"/>
      <c r="HL1024" s="133"/>
      <c r="HM1024" s="133"/>
      <c r="HN1024" s="133"/>
      <c r="HO1024" s="133"/>
      <c r="HP1024" s="133"/>
      <c r="HQ1024" s="133"/>
      <c r="HR1024" s="133"/>
      <c r="HS1024" s="133"/>
      <c r="HT1024" s="133"/>
      <c r="HU1024" s="133"/>
      <c r="HV1024" s="133"/>
      <c r="HW1024" s="133"/>
      <c r="HX1024" s="133"/>
      <c r="HY1024" s="133"/>
      <c r="HZ1024" s="133"/>
      <c r="IA1024" s="133"/>
      <c r="IB1024" s="133"/>
      <c r="IC1024" s="133"/>
      <c r="ID1024" s="133"/>
      <c r="IE1024" s="133"/>
      <c r="IF1024" s="133"/>
      <c r="IG1024" s="133"/>
      <c r="IH1024" s="133"/>
      <c r="II1024" s="133"/>
      <c r="IJ1024" s="133"/>
      <c r="IK1024" s="133"/>
      <c r="IL1024" s="133"/>
      <c r="IM1024" s="133"/>
      <c r="IN1024" s="133"/>
      <c r="IO1024" s="133"/>
      <c r="IP1024" s="133"/>
      <c r="IQ1024" s="133"/>
      <c r="IR1024" s="133"/>
      <c r="IS1024" s="133"/>
      <c r="IT1024" s="133"/>
      <c r="IU1024" s="133"/>
      <c r="IV1024" s="133"/>
    </row>
    <row r="1025" spans="1:256" s="132" customFormat="1" ht="13.8">
      <c r="A1025" s="133"/>
      <c r="B1025" s="133"/>
      <c r="C1025" s="133"/>
      <c r="D1025" s="133"/>
      <c r="E1025" s="133"/>
      <c r="F1025" s="133"/>
      <c r="G1025" s="133"/>
      <c r="H1025" s="133"/>
      <c r="I1025" s="133"/>
      <c r="J1025" s="133"/>
      <c r="K1025" s="133"/>
      <c r="L1025" s="133"/>
      <c r="M1025" s="133"/>
      <c r="N1025" s="133"/>
      <c r="O1025" s="133"/>
      <c r="P1025" s="133"/>
      <c r="GE1025" s="133"/>
      <c r="GF1025" s="133"/>
      <c r="GG1025" s="133"/>
      <c r="GH1025" s="133"/>
      <c r="GI1025" s="133"/>
      <c r="GJ1025" s="133"/>
      <c r="GK1025" s="133"/>
      <c r="GL1025" s="133"/>
      <c r="GM1025" s="133"/>
      <c r="GN1025" s="133"/>
      <c r="GO1025" s="133"/>
      <c r="GP1025" s="133"/>
      <c r="GQ1025" s="133"/>
      <c r="GR1025" s="133"/>
      <c r="GS1025" s="133"/>
      <c r="GT1025" s="133"/>
      <c r="GU1025" s="133"/>
      <c r="GV1025" s="133"/>
      <c r="GW1025" s="133"/>
      <c r="GX1025" s="133"/>
      <c r="GY1025" s="133"/>
      <c r="GZ1025" s="133"/>
      <c r="HA1025" s="133"/>
      <c r="HB1025" s="133"/>
      <c r="HC1025" s="133"/>
      <c r="HD1025" s="133"/>
      <c r="HE1025" s="133"/>
      <c r="HF1025" s="133"/>
      <c r="HG1025" s="133"/>
      <c r="HH1025" s="133"/>
      <c r="HI1025" s="133"/>
      <c r="HJ1025" s="133"/>
      <c r="HK1025" s="133"/>
      <c r="HL1025" s="133"/>
      <c r="HM1025" s="133"/>
      <c r="HN1025" s="133"/>
      <c r="HO1025" s="133"/>
      <c r="HP1025" s="133"/>
      <c r="HQ1025" s="133"/>
      <c r="HR1025" s="133"/>
      <c r="HS1025" s="133"/>
      <c r="HT1025" s="133"/>
      <c r="HU1025" s="133"/>
      <c r="HV1025" s="133"/>
      <c r="HW1025" s="133"/>
      <c r="HX1025" s="133"/>
      <c r="HY1025" s="133"/>
      <c r="HZ1025" s="133"/>
      <c r="IA1025" s="133"/>
      <c r="IB1025" s="133"/>
      <c r="IC1025" s="133"/>
      <c r="ID1025" s="133"/>
      <c r="IE1025" s="133"/>
      <c r="IF1025" s="133"/>
      <c r="IG1025" s="133"/>
      <c r="IH1025" s="133"/>
      <c r="II1025" s="133"/>
      <c r="IJ1025" s="133"/>
      <c r="IK1025" s="133"/>
      <c r="IL1025" s="133"/>
      <c r="IM1025" s="133"/>
      <c r="IN1025" s="133"/>
      <c r="IO1025" s="133"/>
      <c r="IP1025" s="133"/>
      <c r="IQ1025" s="133"/>
      <c r="IR1025" s="133"/>
      <c r="IS1025" s="133"/>
      <c r="IT1025" s="133"/>
      <c r="IU1025" s="133"/>
      <c r="IV1025" s="133"/>
    </row>
    <row r="1026" spans="1:256" s="132" customFormat="1" ht="13.8">
      <c r="A1026" s="133"/>
      <c r="B1026" s="133"/>
      <c r="C1026" s="133"/>
      <c r="D1026" s="133"/>
      <c r="E1026" s="133"/>
      <c r="F1026" s="133"/>
      <c r="G1026" s="133"/>
      <c r="H1026" s="133"/>
      <c r="I1026" s="133"/>
      <c r="J1026" s="133"/>
      <c r="K1026" s="133"/>
      <c r="L1026" s="133"/>
      <c r="M1026" s="133"/>
      <c r="N1026" s="133"/>
      <c r="O1026" s="133"/>
      <c r="P1026" s="133"/>
      <c r="GE1026" s="133"/>
      <c r="GF1026" s="133"/>
      <c r="GG1026" s="133"/>
      <c r="GH1026" s="133"/>
      <c r="GI1026" s="133"/>
      <c r="GJ1026" s="133"/>
      <c r="GK1026" s="133"/>
      <c r="GL1026" s="133"/>
      <c r="GM1026" s="133"/>
      <c r="GN1026" s="133"/>
      <c r="GO1026" s="133"/>
      <c r="GP1026" s="133"/>
      <c r="GQ1026" s="133"/>
      <c r="GR1026" s="133"/>
      <c r="GS1026" s="133"/>
      <c r="GT1026" s="133"/>
      <c r="GU1026" s="133"/>
      <c r="GV1026" s="133"/>
      <c r="GW1026" s="133"/>
      <c r="GX1026" s="133"/>
      <c r="GY1026" s="133"/>
      <c r="GZ1026" s="133"/>
      <c r="HA1026" s="133"/>
      <c r="HB1026" s="133"/>
      <c r="HC1026" s="133"/>
      <c r="HD1026" s="133"/>
      <c r="HE1026" s="133"/>
      <c r="HF1026" s="133"/>
      <c r="HG1026" s="133"/>
      <c r="HH1026" s="133"/>
      <c r="HI1026" s="133"/>
      <c r="HJ1026" s="133"/>
      <c r="HK1026" s="133"/>
      <c r="HL1026" s="133"/>
      <c r="HM1026" s="133"/>
      <c r="HN1026" s="133"/>
      <c r="HO1026" s="133"/>
      <c r="HP1026" s="133"/>
      <c r="HQ1026" s="133"/>
      <c r="HR1026" s="133"/>
      <c r="HS1026" s="133"/>
      <c r="HT1026" s="133"/>
      <c r="HU1026" s="133"/>
      <c r="HV1026" s="133"/>
      <c r="HW1026" s="133"/>
      <c r="HX1026" s="133"/>
      <c r="HY1026" s="133"/>
      <c r="HZ1026" s="133"/>
      <c r="IA1026" s="133"/>
      <c r="IB1026" s="133"/>
      <c r="IC1026" s="133"/>
      <c r="ID1026" s="133"/>
      <c r="IE1026" s="133"/>
      <c r="IF1026" s="133"/>
      <c r="IG1026" s="133"/>
      <c r="IH1026" s="133"/>
      <c r="II1026" s="133"/>
      <c r="IJ1026" s="133"/>
      <c r="IK1026" s="133"/>
      <c r="IL1026" s="133"/>
      <c r="IM1026" s="133"/>
      <c r="IN1026" s="133"/>
      <c r="IO1026" s="133"/>
      <c r="IP1026" s="133"/>
      <c r="IQ1026" s="133"/>
      <c r="IR1026" s="133"/>
      <c r="IS1026" s="133"/>
      <c r="IT1026" s="133"/>
      <c r="IU1026" s="133"/>
      <c r="IV1026" s="133"/>
    </row>
    <row r="1027" spans="1:256" s="132" customFormat="1" ht="13.8">
      <c r="A1027" s="133"/>
      <c r="B1027" s="133"/>
      <c r="C1027" s="133"/>
      <c r="D1027" s="133"/>
      <c r="E1027" s="133"/>
      <c r="F1027" s="133"/>
      <c r="G1027" s="133"/>
      <c r="H1027" s="133"/>
      <c r="I1027" s="133"/>
      <c r="J1027" s="133"/>
      <c r="K1027" s="133"/>
      <c r="L1027" s="133"/>
      <c r="M1027" s="133"/>
      <c r="N1027" s="133"/>
      <c r="O1027" s="133"/>
      <c r="P1027" s="133"/>
      <c r="GE1027" s="133"/>
      <c r="GF1027" s="133"/>
      <c r="GG1027" s="133"/>
      <c r="GH1027" s="133"/>
      <c r="GI1027" s="133"/>
      <c r="GJ1027" s="133"/>
      <c r="GK1027" s="133"/>
      <c r="GL1027" s="133"/>
      <c r="GM1027" s="133"/>
      <c r="GN1027" s="133"/>
      <c r="GO1027" s="133"/>
      <c r="GP1027" s="133"/>
      <c r="GQ1027" s="133"/>
      <c r="GR1027" s="133"/>
      <c r="GS1027" s="133"/>
      <c r="GT1027" s="133"/>
      <c r="GU1027" s="133"/>
      <c r="GV1027" s="133"/>
      <c r="GW1027" s="133"/>
      <c r="GX1027" s="133"/>
      <c r="GY1027" s="133"/>
      <c r="GZ1027" s="133"/>
      <c r="HA1027" s="133"/>
      <c r="HB1027" s="133"/>
      <c r="HC1027" s="133"/>
      <c r="HD1027" s="133"/>
      <c r="HE1027" s="133"/>
      <c r="HF1027" s="133"/>
      <c r="HG1027" s="133"/>
      <c r="HH1027" s="133"/>
      <c r="HI1027" s="133"/>
      <c r="HJ1027" s="133"/>
      <c r="HK1027" s="133"/>
      <c r="HL1027" s="133"/>
      <c r="HM1027" s="133"/>
      <c r="HN1027" s="133"/>
      <c r="HO1027" s="133"/>
      <c r="HP1027" s="133"/>
      <c r="HQ1027" s="133"/>
      <c r="HR1027" s="133"/>
      <c r="HS1027" s="133"/>
      <c r="HT1027" s="133"/>
      <c r="HU1027" s="133"/>
      <c r="HV1027" s="133"/>
      <c r="HW1027" s="133"/>
      <c r="HX1027" s="133"/>
      <c r="HY1027" s="133"/>
      <c r="HZ1027" s="133"/>
      <c r="IA1027" s="133"/>
      <c r="IB1027" s="133"/>
      <c r="IC1027" s="133"/>
      <c r="ID1027" s="133"/>
      <c r="IE1027" s="133"/>
      <c r="IF1027" s="133"/>
      <c r="IG1027" s="133"/>
      <c r="IH1027" s="133"/>
      <c r="II1027" s="133"/>
      <c r="IJ1027" s="133"/>
      <c r="IK1027" s="133"/>
      <c r="IL1027" s="133"/>
      <c r="IM1027" s="133"/>
      <c r="IN1027" s="133"/>
      <c r="IO1027" s="133"/>
      <c r="IP1027" s="133"/>
      <c r="IQ1027" s="133"/>
      <c r="IR1027" s="133"/>
      <c r="IS1027" s="133"/>
      <c r="IT1027" s="133"/>
      <c r="IU1027" s="133"/>
      <c r="IV1027" s="133"/>
    </row>
    <row r="1028" spans="1:256" s="132" customFormat="1" ht="13.8">
      <c r="A1028" s="133"/>
      <c r="B1028" s="133"/>
      <c r="C1028" s="133"/>
      <c r="D1028" s="133"/>
      <c r="E1028" s="133"/>
      <c r="F1028" s="133"/>
      <c r="G1028" s="133"/>
      <c r="H1028" s="133"/>
      <c r="I1028" s="133"/>
      <c r="J1028" s="133"/>
      <c r="K1028" s="133"/>
      <c r="L1028" s="133"/>
      <c r="M1028" s="133"/>
      <c r="N1028" s="133"/>
      <c r="O1028" s="133"/>
      <c r="P1028" s="133"/>
      <c r="GE1028" s="133"/>
      <c r="GF1028" s="133"/>
      <c r="GG1028" s="133"/>
      <c r="GH1028" s="133"/>
      <c r="GI1028" s="133"/>
      <c r="GJ1028" s="133"/>
      <c r="GK1028" s="133"/>
      <c r="GL1028" s="133"/>
      <c r="GM1028" s="133"/>
      <c r="GN1028" s="133"/>
      <c r="GO1028" s="133"/>
      <c r="GP1028" s="133"/>
      <c r="GQ1028" s="133"/>
      <c r="GR1028" s="133"/>
      <c r="GS1028" s="133"/>
      <c r="GT1028" s="133"/>
      <c r="GU1028" s="133"/>
      <c r="GV1028" s="133"/>
      <c r="GW1028" s="133"/>
      <c r="GX1028" s="133"/>
      <c r="GY1028" s="133"/>
      <c r="GZ1028" s="133"/>
      <c r="HA1028" s="133"/>
      <c r="HB1028" s="133"/>
      <c r="HC1028" s="133"/>
      <c r="HD1028" s="133"/>
      <c r="HE1028" s="133"/>
      <c r="HF1028" s="133"/>
      <c r="HG1028" s="133"/>
      <c r="HH1028" s="133"/>
      <c r="HI1028" s="133"/>
      <c r="HJ1028" s="133"/>
      <c r="HK1028" s="133"/>
      <c r="HL1028" s="133"/>
      <c r="HM1028" s="133"/>
      <c r="HN1028" s="133"/>
      <c r="HO1028" s="133"/>
      <c r="HP1028" s="133"/>
      <c r="HQ1028" s="133"/>
      <c r="HR1028" s="133"/>
      <c r="HS1028" s="133"/>
      <c r="HT1028" s="133"/>
      <c r="HU1028" s="133"/>
      <c r="HV1028" s="133"/>
      <c r="HW1028" s="133"/>
      <c r="HX1028" s="133"/>
      <c r="HY1028" s="133"/>
      <c r="HZ1028" s="133"/>
      <c r="IA1028" s="133"/>
      <c r="IB1028" s="133"/>
      <c r="IC1028" s="133"/>
      <c r="ID1028" s="133"/>
      <c r="IE1028" s="133"/>
      <c r="IF1028" s="133"/>
      <c r="IG1028" s="133"/>
      <c r="IH1028" s="133"/>
      <c r="II1028" s="133"/>
      <c r="IJ1028" s="133"/>
      <c r="IK1028" s="133"/>
      <c r="IL1028" s="133"/>
      <c r="IM1028" s="133"/>
      <c r="IN1028" s="133"/>
      <c r="IO1028" s="133"/>
      <c r="IP1028" s="133"/>
      <c r="IQ1028" s="133"/>
      <c r="IR1028" s="133"/>
      <c r="IS1028" s="133"/>
      <c r="IT1028" s="133"/>
      <c r="IU1028" s="133"/>
      <c r="IV1028" s="133"/>
    </row>
    <row r="1029" spans="1:256" s="132" customFormat="1" ht="13.8">
      <c r="A1029" s="133"/>
      <c r="B1029" s="133"/>
      <c r="C1029" s="133"/>
      <c r="D1029" s="133"/>
      <c r="E1029" s="133"/>
      <c r="F1029" s="133"/>
      <c r="G1029" s="133"/>
      <c r="H1029" s="133"/>
      <c r="I1029" s="133"/>
      <c r="J1029" s="133"/>
      <c r="K1029" s="133"/>
      <c r="L1029" s="133"/>
      <c r="M1029" s="133"/>
      <c r="N1029" s="133"/>
      <c r="O1029" s="133"/>
      <c r="P1029" s="133"/>
      <c r="GE1029" s="133"/>
      <c r="GF1029" s="133"/>
      <c r="GG1029" s="133"/>
      <c r="GH1029" s="133"/>
      <c r="GI1029" s="133"/>
      <c r="GJ1029" s="133"/>
      <c r="GK1029" s="133"/>
      <c r="GL1029" s="133"/>
      <c r="GM1029" s="133"/>
      <c r="GN1029" s="133"/>
      <c r="GO1029" s="133"/>
      <c r="GP1029" s="133"/>
      <c r="GQ1029" s="133"/>
      <c r="GR1029" s="133"/>
      <c r="GS1029" s="133"/>
      <c r="GT1029" s="133"/>
      <c r="GU1029" s="133"/>
      <c r="GV1029" s="133"/>
      <c r="GW1029" s="133"/>
      <c r="GX1029" s="133"/>
      <c r="GY1029" s="133"/>
      <c r="GZ1029" s="133"/>
      <c r="HA1029" s="133"/>
      <c r="HB1029" s="133"/>
      <c r="HC1029" s="133"/>
      <c r="HD1029" s="133"/>
      <c r="HE1029" s="133"/>
      <c r="HF1029" s="133"/>
      <c r="HG1029" s="133"/>
      <c r="HH1029" s="133"/>
      <c r="HI1029" s="133"/>
      <c r="HJ1029" s="133"/>
      <c r="HK1029" s="133"/>
      <c r="HL1029" s="133"/>
      <c r="HM1029" s="133"/>
      <c r="HN1029" s="133"/>
      <c r="HO1029" s="133"/>
      <c r="HP1029" s="133"/>
      <c r="HQ1029" s="133"/>
      <c r="HR1029" s="133"/>
      <c r="HS1029" s="133"/>
      <c r="HT1029" s="133"/>
      <c r="HU1029" s="133"/>
      <c r="HV1029" s="133"/>
      <c r="HW1029" s="133"/>
      <c r="HX1029" s="133"/>
      <c r="HY1029" s="133"/>
      <c r="HZ1029" s="133"/>
      <c r="IA1029" s="133"/>
      <c r="IB1029" s="133"/>
      <c r="IC1029" s="133"/>
      <c r="ID1029" s="133"/>
      <c r="IE1029" s="133"/>
      <c r="IF1029" s="133"/>
      <c r="IG1029" s="133"/>
      <c r="IH1029" s="133"/>
      <c r="II1029" s="133"/>
      <c r="IJ1029" s="133"/>
      <c r="IK1029" s="133"/>
      <c r="IL1029" s="133"/>
      <c r="IM1029" s="133"/>
      <c r="IN1029" s="133"/>
      <c r="IO1029" s="133"/>
      <c r="IP1029" s="133"/>
      <c r="IQ1029" s="133"/>
      <c r="IR1029" s="133"/>
      <c r="IS1029" s="133"/>
      <c r="IT1029" s="133"/>
      <c r="IU1029" s="133"/>
      <c r="IV1029" s="133"/>
    </row>
    <row r="1030" spans="1:256" s="132" customFormat="1" ht="13.8">
      <c r="A1030" s="133"/>
      <c r="B1030" s="133"/>
      <c r="C1030" s="133"/>
      <c r="D1030" s="133"/>
      <c r="E1030" s="133"/>
      <c r="F1030" s="133"/>
      <c r="G1030" s="133"/>
      <c r="H1030" s="133"/>
      <c r="I1030" s="133"/>
      <c r="J1030" s="133"/>
      <c r="K1030" s="133"/>
      <c r="L1030" s="133"/>
      <c r="M1030" s="133"/>
      <c r="N1030" s="133"/>
      <c r="O1030" s="133"/>
      <c r="P1030" s="133"/>
      <c r="GE1030" s="133"/>
      <c r="GF1030" s="133"/>
      <c r="GG1030" s="133"/>
      <c r="GH1030" s="133"/>
      <c r="GI1030" s="133"/>
      <c r="GJ1030" s="133"/>
      <c r="GK1030" s="133"/>
      <c r="GL1030" s="133"/>
      <c r="GM1030" s="133"/>
      <c r="GN1030" s="133"/>
      <c r="GO1030" s="133"/>
      <c r="GP1030" s="133"/>
      <c r="GQ1030" s="133"/>
      <c r="GR1030" s="133"/>
      <c r="GS1030" s="133"/>
      <c r="GT1030" s="133"/>
      <c r="GU1030" s="133"/>
      <c r="GV1030" s="133"/>
      <c r="GW1030" s="133"/>
      <c r="GX1030" s="133"/>
      <c r="GY1030" s="133"/>
      <c r="GZ1030" s="133"/>
      <c r="HA1030" s="133"/>
      <c r="HB1030" s="133"/>
      <c r="HC1030" s="133"/>
      <c r="HD1030" s="133"/>
      <c r="HE1030" s="133"/>
      <c r="HF1030" s="133"/>
      <c r="HG1030" s="133"/>
      <c r="HH1030" s="133"/>
      <c r="HI1030" s="133"/>
      <c r="HJ1030" s="133"/>
      <c r="HK1030" s="133"/>
      <c r="HL1030" s="133"/>
      <c r="HM1030" s="133"/>
      <c r="HN1030" s="133"/>
      <c r="HO1030" s="133"/>
      <c r="HP1030" s="133"/>
      <c r="HQ1030" s="133"/>
      <c r="HR1030" s="133"/>
      <c r="HS1030" s="133"/>
      <c r="HT1030" s="133"/>
      <c r="HU1030" s="133"/>
      <c r="HV1030" s="133"/>
      <c r="HW1030" s="133"/>
      <c r="HX1030" s="133"/>
      <c r="HY1030" s="133"/>
      <c r="HZ1030" s="133"/>
      <c r="IA1030" s="133"/>
      <c r="IB1030" s="133"/>
      <c r="IC1030" s="133"/>
      <c r="ID1030" s="133"/>
      <c r="IE1030" s="133"/>
      <c r="IF1030" s="133"/>
      <c r="IG1030" s="133"/>
      <c r="IH1030" s="133"/>
      <c r="II1030" s="133"/>
      <c r="IJ1030" s="133"/>
      <c r="IK1030" s="133"/>
      <c r="IL1030" s="133"/>
      <c r="IM1030" s="133"/>
      <c r="IN1030" s="133"/>
      <c r="IO1030" s="133"/>
      <c r="IP1030" s="133"/>
      <c r="IQ1030" s="133"/>
      <c r="IR1030" s="133"/>
      <c r="IS1030" s="133"/>
      <c r="IT1030" s="133"/>
      <c r="IU1030" s="133"/>
      <c r="IV1030" s="133"/>
    </row>
    <row r="1031" spans="1:256" s="132" customFormat="1" ht="13.8">
      <c r="A1031" s="133"/>
      <c r="B1031" s="133"/>
      <c r="C1031" s="133"/>
      <c r="D1031" s="133"/>
      <c r="E1031" s="133"/>
      <c r="F1031" s="133"/>
      <c r="G1031" s="133"/>
      <c r="H1031" s="133"/>
      <c r="I1031" s="133"/>
      <c r="J1031" s="133"/>
      <c r="K1031" s="133"/>
      <c r="L1031" s="133"/>
      <c r="M1031" s="133"/>
      <c r="N1031" s="133"/>
      <c r="O1031" s="133"/>
      <c r="P1031" s="133"/>
      <c r="GE1031" s="133"/>
      <c r="GF1031" s="133"/>
      <c r="GG1031" s="133"/>
      <c r="GH1031" s="133"/>
      <c r="GI1031" s="133"/>
      <c r="GJ1031" s="133"/>
      <c r="GK1031" s="133"/>
      <c r="GL1031" s="133"/>
      <c r="GM1031" s="133"/>
      <c r="GN1031" s="133"/>
      <c r="GO1031" s="133"/>
      <c r="GP1031" s="133"/>
      <c r="GQ1031" s="133"/>
      <c r="GR1031" s="133"/>
      <c r="GS1031" s="133"/>
      <c r="GT1031" s="133"/>
      <c r="GU1031" s="133"/>
      <c r="GV1031" s="133"/>
      <c r="GW1031" s="133"/>
      <c r="GX1031" s="133"/>
      <c r="GY1031" s="133"/>
      <c r="GZ1031" s="133"/>
      <c r="HA1031" s="133"/>
      <c r="HB1031" s="133"/>
      <c r="HC1031" s="133"/>
      <c r="HD1031" s="133"/>
      <c r="HE1031" s="133"/>
      <c r="HF1031" s="133"/>
      <c r="HG1031" s="133"/>
      <c r="HH1031" s="133"/>
      <c r="HI1031" s="133"/>
      <c r="HJ1031" s="133"/>
      <c r="HK1031" s="133"/>
      <c r="HL1031" s="133"/>
      <c r="HM1031" s="133"/>
      <c r="HN1031" s="133"/>
      <c r="HO1031" s="133"/>
      <c r="HP1031" s="133"/>
      <c r="HQ1031" s="133"/>
      <c r="HR1031" s="133"/>
      <c r="HS1031" s="133"/>
      <c r="HT1031" s="133"/>
      <c r="HU1031" s="133"/>
      <c r="HV1031" s="133"/>
      <c r="HW1031" s="133"/>
      <c r="HX1031" s="133"/>
      <c r="HY1031" s="133"/>
      <c r="HZ1031" s="133"/>
      <c r="IA1031" s="133"/>
      <c r="IB1031" s="133"/>
      <c r="IC1031" s="133"/>
      <c r="ID1031" s="133"/>
      <c r="IE1031" s="133"/>
      <c r="IF1031" s="133"/>
      <c r="IG1031" s="133"/>
      <c r="IH1031" s="133"/>
      <c r="II1031" s="133"/>
      <c r="IJ1031" s="133"/>
      <c r="IK1031" s="133"/>
      <c r="IL1031" s="133"/>
      <c r="IM1031" s="133"/>
      <c r="IN1031" s="133"/>
      <c r="IO1031" s="133"/>
      <c r="IP1031" s="133"/>
      <c r="IQ1031" s="133"/>
      <c r="IR1031" s="133"/>
      <c r="IS1031" s="133"/>
      <c r="IT1031" s="133"/>
      <c r="IU1031" s="133"/>
      <c r="IV1031" s="133"/>
    </row>
    <row r="1032" spans="1:256" s="132" customFormat="1" ht="13.8">
      <c r="A1032" s="133"/>
      <c r="B1032" s="133"/>
      <c r="C1032" s="133"/>
      <c r="D1032" s="133"/>
      <c r="E1032" s="133"/>
      <c r="F1032" s="133"/>
      <c r="G1032" s="133"/>
      <c r="H1032" s="133"/>
      <c r="I1032" s="133"/>
      <c r="J1032" s="133"/>
      <c r="K1032" s="133"/>
      <c r="L1032" s="133"/>
      <c r="M1032" s="133"/>
      <c r="N1032" s="133"/>
      <c r="O1032" s="133"/>
      <c r="P1032" s="133"/>
      <c r="GE1032" s="133"/>
      <c r="GF1032" s="133"/>
      <c r="GG1032" s="133"/>
      <c r="GH1032" s="133"/>
      <c r="GI1032" s="133"/>
      <c r="GJ1032" s="133"/>
      <c r="GK1032" s="133"/>
      <c r="GL1032" s="133"/>
      <c r="GM1032" s="133"/>
      <c r="GN1032" s="133"/>
      <c r="GO1032" s="133"/>
      <c r="GP1032" s="133"/>
      <c r="GQ1032" s="133"/>
      <c r="GR1032" s="133"/>
      <c r="GS1032" s="133"/>
      <c r="GT1032" s="133"/>
      <c r="GU1032" s="133"/>
      <c r="GV1032" s="133"/>
      <c r="GW1032" s="133"/>
      <c r="GX1032" s="133"/>
      <c r="GY1032" s="133"/>
      <c r="GZ1032" s="133"/>
      <c r="HA1032" s="133"/>
      <c r="HB1032" s="133"/>
      <c r="HC1032" s="133"/>
      <c r="HD1032" s="133"/>
      <c r="HE1032" s="133"/>
      <c r="HF1032" s="133"/>
      <c r="HG1032" s="133"/>
      <c r="HH1032" s="133"/>
      <c r="HI1032" s="133"/>
      <c r="HJ1032" s="133"/>
      <c r="HK1032" s="133"/>
      <c r="HL1032" s="133"/>
      <c r="HM1032" s="133"/>
      <c r="HN1032" s="133"/>
      <c r="HO1032" s="133"/>
      <c r="HP1032" s="133"/>
      <c r="HQ1032" s="133"/>
      <c r="HR1032" s="133"/>
      <c r="HS1032" s="133"/>
      <c r="HT1032" s="133"/>
      <c r="HU1032" s="133"/>
      <c r="HV1032" s="133"/>
      <c r="HW1032" s="133"/>
      <c r="HX1032" s="133"/>
      <c r="HY1032" s="133"/>
      <c r="HZ1032" s="133"/>
      <c r="IA1032" s="133"/>
      <c r="IB1032" s="133"/>
      <c r="IC1032" s="133"/>
      <c r="ID1032" s="133"/>
      <c r="IE1032" s="133"/>
      <c r="IF1032" s="133"/>
      <c r="IG1032" s="133"/>
      <c r="IH1032" s="133"/>
      <c r="II1032" s="133"/>
      <c r="IJ1032" s="133"/>
      <c r="IK1032" s="133"/>
      <c r="IL1032" s="133"/>
      <c r="IM1032" s="133"/>
      <c r="IN1032" s="133"/>
      <c r="IO1032" s="133"/>
      <c r="IP1032" s="133"/>
      <c r="IQ1032" s="133"/>
      <c r="IR1032" s="133"/>
      <c r="IS1032" s="133"/>
      <c r="IT1032" s="133"/>
      <c r="IU1032" s="133"/>
      <c r="IV1032" s="133"/>
    </row>
    <row r="1033" spans="1:256" s="132" customFormat="1" ht="13.8">
      <c r="A1033" s="133"/>
      <c r="B1033" s="133"/>
      <c r="C1033" s="133"/>
      <c r="D1033" s="133"/>
      <c r="E1033" s="133"/>
      <c r="F1033" s="133"/>
      <c r="G1033" s="133"/>
      <c r="H1033" s="133"/>
      <c r="I1033" s="133"/>
      <c r="J1033" s="133"/>
      <c r="K1033" s="133"/>
      <c r="L1033" s="133"/>
      <c r="M1033" s="133"/>
      <c r="N1033" s="133"/>
      <c r="O1033" s="133"/>
      <c r="P1033" s="133"/>
      <c r="GE1033" s="133"/>
      <c r="GF1033" s="133"/>
      <c r="GG1033" s="133"/>
      <c r="GH1033" s="133"/>
      <c r="GI1033" s="133"/>
      <c r="GJ1033" s="133"/>
      <c r="GK1033" s="133"/>
      <c r="GL1033" s="133"/>
      <c r="GM1033" s="133"/>
      <c r="GN1033" s="133"/>
      <c r="GO1033" s="133"/>
      <c r="GP1033" s="133"/>
      <c r="GQ1033" s="133"/>
      <c r="GR1033" s="133"/>
      <c r="GS1033" s="133"/>
      <c r="GT1033" s="133"/>
      <c r="GU1033" s="133"/>
      <c r="GV1033" s="133"/>
      <c r="GW1033" s="133"/>
      <c r="GX1033" s="133"/>
      <c r="GY1033" s="133"/>
      <c r="GZ1033" s="133"/>
      <c r="HA1033" s="133"/>
      <c r="HB1033" s="133"/>
      <c r="HC1033" s="133"/>
      <c r="HD1033" s="133"/>
      <c r="HE1033" s="133"/>
      <c r="HF1033" s="133"/>
      <c r="HG1033" s="133"/>
      <c r="HH1033" s="133"/>
      <c r="HI1033" s="133"/>
      <c r="HJ1033" s="133"/>
      <c r="HK1033" s="133"/>
      <c r="HL1033" s="133"/>
      <c r="HM1033" s="133"/>
      <c r="HN1033" s="133"/>
      <c r="HO1033" s="133"/>
      <c r="HP1033" s="133"/>
      <c r="HQ1033" s="133"/>
      <c r="HR1033" s="133"/>
      <c r="HS1033" s="133"/>
      <c r="HT1033" s="133"/>
      <c r="HU1033" s="133"/>
      <c r="HV1033" s="133"/>
      <c r="HW1033" s="133"/>
      <c r="HX1033" s="133"/>
      <c r="HY1033" s="133"/>
      <c r="HZ1033" s="133"/>
      <c r="IA1033" s="133"/>
      <c r="IB1033" s="133"/>
      <c r="IC1033" s="133"/>
      <c r="ID1033" s="133"/>
      <c r="IE1033" s="133"/>
      <c r="IF1033" s="133"/>
      <c r="IG1033" s="133"/>
      <c r="IH1033" s="133"/>
      <c r="II1033" s="133"/>
      <c r="IJ1033" s="133"/>
      <c r="IK1033" s="133"/>
      <c r="IL1033" s="133"/>
      <c r="IM1033" s="133"/>
      <c r="IN1033" s="133"/>
      <c r="IO1033" s="133"/>
      <c r="IP1033" s="133"/>
      <c r="IQ1033" s="133"/>
      <c r="IR1033" s="133"/>
      <c r="IS1033" s="133"/>
      <c r="IT1033" s="133"/>
      <c r="IU1033" s="133"/>
      <c r="IV1033" s="133"/>
    </row>
    <row r="1034" spans="1:256" s="132" customFormat="1" ht="13.8">
      <c r="A1034" s="133"/>
      <c r="B1034" s="133"/>
      <c r="C1034" s="133"/>
      <c r="D1034" s="133"/>
      <c r="E1034" s="133"/>
      <c r="F1034" s="133"/>
      <c r="G1034" s="133"/>
      <c r="H1034" s="133"/>
      <c r="I1034" s="133"/>
      <c r="J1034" s="133"/>
      <c r="K1034" s="133"/>
      <c r="L1034" s="133"/>
      <c r="M1034" s="133"/>
      <c r="N1034" s="133"/>
      <c r="O1034" s="133"/>
      <c r="P1034" s="133"/>
      <c r="GE1034" s="133"/>
      <c r="GF1034" s="133"/>
      <c r="GG1034" s="133"/>
      <c r="GH1034" s="133"/>
      <c r="GI1034" s="133"/>
      <c r="GJ1034" s="133"/>
      <c r="GK1034" s="133"/>
      <c r="GL1034" s="133"/>
      <c r="GM1034" s="133"/>
      <c r="GN1034" s="133"/>
      <c r="GO1034" s="133"/>
      <c r="GP1034" s="133"/>
      <c r="GQ1034" s="133"/>
      <c r="GR1034" s="133"/>
      <c r="GS1034" s="133"/>
      <c r="GT1034" s="133"/>
      <c r="GU1034" s="133"/>
      <c r="GV1034" s="133"/>
      <c r="GW1034" s="133"/>
      <c r="GX1034" s="133"/>
      <c r="GY1034" s="133"/>
      <c r="GZ1034" s="133"/>
      <c r="HA1034" s="133"/>
      <c r="HB1034" s="133"/>
      <c r="HC1034" s="133"/>
      <c r="HD1034" s="133"/>
      <c r="HE1034" s="133"/>
      <c r="HF1034" s="133"/>
      <c r="HG1034" s="133"/>
      <c r="HH1034" s="133"/>
      <c r="HI1034" s="133"/>
      <c r="HJ1034" s="133"/>
      <c r="HK1034" s="133"/>
      <c r="HL1034" s="133"/>
      <c r="HM1034" s="133"/>
      <c r="HN1034" s="133"/>
      <c r="HO1034" s="133"/>
      <c r="HP1034" s="133"/>
      <c r="HQ1034" s="133"/>
      <c r="HR1034" s="133"/>
      <c r="HS1034" s="133"/>
      <c r="HT1034" s="133"/>
      <c r="HU1034" s="133"/>
      <c r="HV1034" s="133"/>
      <c r="HW1034" s="133"/>
      <c r="HX1034" s="133"/>
      <c r="HY1034" s="133"/>
      <c r="HZ1034" s="133"/>
      <c r="IA1034" s="133"/>
      <c r="IB1034" s="133"/>
      <c r="IC1034" s="133"/>
      <c r="ID1034" s="133"/>
      <c r="IE1034" s="133"/>
      <c r="IF1034" s="133"/>
      <c r="IG1034" s="133"/>
      <c r="IH1034" s="133"/>
      <c r="II1034" s="133"/>
      <c r="IJ1034" s="133"/>
      <c r="IK1034" s="133"/>
      <c r="IL1034" s="133"/>
      <c r="IM1034" s="133"/>
      <c r="IN1034" s="133"/>
      <c r="IO1034" s="133"/>
      <c r="IP1034" s="133"/>
      <c r="IQ1034" s="133"/>
      <c r="IR1034" s="133"/>
      <c r="IS1034" s="133"/>
      <c r="IT1034" s="133"/>
      <c r="IU1034" s="133"/>
      <c r="IV1034" s="133"/>
    </row>
    <row r="1035" spans="1:256" s="132" customFormat="1" ht="13.8">
      <c r="A1035" s="133"/>
      <c r="B1035" s="133"/>
      <c r="C1035" s="133"/>
      <c r="D1035" s="133"/>
      <c r="E1035" s="133"/>
      <c r="F1035" s="133"/>
      <c r="G1035" s="133"/>
      <c r="H1035" s="133"/>
      <c r="I1035" s="133"/>
      <c r="J1035" s="133"/>
      <c r="K1035" s="133"/>
      <c r="L1035" s="133"/>
      <c r="M1035" s="133"/>
      <c r="N1035" s="133"/>
      <c r="O1035" s="133"/>
      <c r="P1035" s="133"/>
      <c r="GE1035" s="133"/>
      <c r="GF1035" s="133"/>
      <c r="GG1035" s="133"/>
      <c r="GH1035" s="133"/>
      <c r="GI1035" s="133"/>
      <c r="GJ1035" s="133"/>
      <c r="GK1035" s="133"/>
      <c r="GL1035" s="133"/>
      <c r="GM1035" s="133"/>
      <c r="GN1035" s="133"/>
      <c r="GO1035" s="133"/>
      <c r="GP1035" s="133"/>
      <c r="GQ1035" s="133"/>
      <c r="GR1035" s="133"/>
      <c r="GS1035" s="133"/>
      <c r="GT1035" s="133"/>
      <c r="GU1035" s="133"/>
      <c r="GV1035" s="133"/>
      <c r="GW1035" s="133"/>
      <c r="GX1035" s="133"/>
      <c r="GY1035" s="133"/>
      <c r="GZ1035" s="133"/>
      <c r="HA1035" s="133"/>
      <c r="HB1035" s="133"/>
      <c r="HC1035" s="133"/>
      <c r="HD1035" s="133"/>
      <c r="HE1035" s="133"/>
      <c r="HF1035" s="133"/>
      <c r="HG1035" s="133"/>
      <c r="HH1035" s="133"/>
      <c r="HI1035" s="133"/>
      <c r="HJ1035" s="133"/>
      <c r="HK1035" s="133"/>
      <c r="HL1035" s="133"/>
      <c r="HM1035" s="133"/>
      <c r="HN1035" s="133"/>
      <c r="HO1035" s="133"/>
      <c r="HP1035" s="133"/>
      <c r="HQ1035" s="133"/>
      <c r="HR1035" s="133"/>
      <c r="HS1035" s="133"/>
      <c r="HT1035" s="133"/>
      <c r="HU1035" s="133"/>
      <c r="HV1035" s="133"/>
      <c r="HW1035" s="133"/>
      <c r="HX1035" s="133"/>
      <c r="HY1035" s="133"/>
      <c r="HZ1035" s="133"/>
      <c r="IA1035" s="133"/>
      <c r="IB1035" s="133"/>
      <c r="IC1035" s="133"/>
      <c r="ID1035" s="133"/>
      <c r="IE1035" s="133"/>
      <c r="IF1035" s="133"/>
      <c r="IG1035" s="133"/>
      <c r="IH1035" s="133"/>
      <c r="II1035" s="133"/>
      <c r="IJ1035" s="133"/>
      <c r="IK1035" s="133"/>
      <c r="IL1035" s="133"/>
      <c r="IM1035" s="133"/>
      <c r="IN1035" s="133"/>
      <c r="IO1035" s="133"/>
      <c r="IP1035" s="133"/>
      <c r="IQ1035" s="133"/>
      <c r="IR1035" s="133"/>
      <c r="IS1035" s="133"/>
      <c r="IT1035" s="133"/>
      <c r="IU1035" s="133"/>
      <c r="IV1035" s="133"/>
    </row>
    <row r="1036" spans="1:256" s="132" customFormat="1" ht="13.8">
      <c r="A1036" s="133"/>
      <c r="B1036" s="133"/>
      <c r="C1036" s="133"/>
      <c r="D1036" s="133"/>
      <c r="E1036" s="133"/>
      <c r="F1036" s="133"/>
      <c r="G1036" s="133"/>
      <c r="H1036" s="133"/>
      <c r="I1036" s="133"/>
      <c r="J1036" s="133"/>
      <c r="K1036" s="133"/>
      <c r="L1036" s="133"/>
      <c r="M1036" s="133"/>
      <c r="N1036" s="133"/>
      <c r="O1036" s="133"/>
      <c r="P1036" s="133"/>
      <c r="GE1036" s="133"/>
      <c r="GF1036" s="133"/>
      <c r="GG1036" s="133"/>
      <c r="GH1036" s="133"/>
      <c r="GI1036" s="133"/>
      <c r="GJ1036" s="133"/>
      <c r="GK1036" s="133"/>
      <c r="GL1036" s="133"/>
      <c r="GM1036" s="133"/>
      <c r="GN1036" s="133"/>
      <c r="GO1036" s="133"/>
      <c r="GP1036" s="133"/>
      <c r="GQ1036" s="133"/>
      <c r="GR1036" s="133"/>
      <c r="GS1036" s="133"/>
      <c r="GT1036" s="133"/>
      <c r="GU1036" s="133"/>
      <c r="GV1036" s="133"/>
      <c r="GW1036" s="133"/>
      <c r="GX1036" s="133"/>
      <c r="GY1036" s="133"/>
      <c r="GZ1036" s="133"/>
      <c r="HA1036" s="133"/>
      <c r="HB1036" s="133"/>
      <c r="HC1036" s="133"/>
      <c r="HD1036" s="133"/>
      <c r="HE1036" s="133"/>
      <c r="HF1036" s="133"/>
      <c r="HG1036" s="133"/>
      <c r="HH1036" s="133"/>
      <c r="HI1036" s="133"/>
      <c r="HJ1036" s="133"/>
      <c r="HK1036" s="133"/>
      <c r="HL1036" s="133"/>
      <c r="HM1036" s="133"/>
      <c r="HN1036" s="133"/>
      <c r="HO1036" s="133"/>
      <c r="HP1036" s="133"/>
      <c r="HQ1036" s="133"/>
      <c r="HR1036" s="133"/>
      <c r="HS1036" s="133"/>
      <c r="HT1036" s="133"/>
      <c r="HU1036" s="133"/>
      <c r="HV1036" s="133"/>
      <c r="HW1036" s="133"/>
      <c r="HX1036" s="133"/>
      <c r="HY1036" s="133"/>
      <c r="HZ1036" s="133"/>
      <c r="IA1036" s="133"/>
      <c r="IB1036" s="133"/>
      <c r="IC1036" s="133"/>
      <c r="ID1036" s="133"/>
      <c r="IE1036" s="133"/>
      <c r="IF1036" s="133"/>
      <c r="IG1036" s="133"/>
      <c r="IH1036" s="133"/>
      <c r="II1036" s="133"/>
      <c r="IJ1036" s="133"/>
      <c r="IK1036" s="133"/>
      <c r="IL1036" s="133"/>
      <c r="IM1036" s="133"/>
      <c r="IN1036" s="133"/>
      <c r="IO1036" s="133"/>
      <c r="IP1036" s="133"/>
      <c r="IQ1036" s="133"/>
      <c r="IR1036" s="133"/>
      <c r="IS1036" s="133"/>
      <c r="IT1036" s="133"/>
      <c r="IU1036" s="133"/>
      <c r="IV1036" s="133"/>
    </row>
    <row r="1037" spans="1:256" s="132" customFormat="1" ht="13.8">
      <c r="A1037" s="133"/>
      <c r="B1037" s="133"/>
      <c r="C1037" s="133"/>
      <c r="D1037" s="133"/>
      <c r="E1037" s="133"/>
      <c r="F1037" s="133"/>
      <c r="G1037" s="133"/>
      <c r="H1037" s="133"/>
      <c r="I1037" s="133"/>
      <c r="J1037" s="133"/>
      <c r="K1037" s="133"/>
      <c r="L1037" s="133"/>
      <c r="M1037" s="133"/>
      <c r="N1037" s="133"/>
      <c r="O1037" s="133"/>
      <c r="P1037" s="133"/>
      <c r="GE1037" s="133"/>
      <c r="GF1037" s="133"/>
      <c r="GG1037" s="133"/>
      <c r="GH1037" s="133"/>
      <c r="GI1037" s="133"/>
      <c r="GJ1037" s="133"/>
      <c r="GK1037" s="133"/>
      <c r="GL1037" s="133"/>
      <c r="GM1037" s="133"/>
      <c r="GN1037" s="133"/>
      <c r="GO1037" s="133"/>
      <c r="GP1037" s="133"/>
      <c r="GQ1037" s="133"/>
      <c r="GR1037" s="133"/>
      <c r="GS1037" s="133"/>
      <c r="GT1037" s="133"/>
      <c r="GU1037" s="133"/>
      <c r="GV1037" s="133"/>
      <c r="GW1037" s="133"/>
      <c r="GX1037" s="133"/>
      <c r="GY1037" s="133"/>
      <c r="GZ1037" s="133"/>
      <c r="HA1037" s="133"/>
      <c r="HB1037" s="133"/>
      <c r="HC1037" s="133"/>
      <c r="HD1037" s="133"/>
      <c r="HE1037" s="133"/>
      <c r="HF1037" s="133"/>
      <c r="HG1037" s="133"/>
      <c r="HH1037" s="133"/>
      <c r="HI1037" s="133"/>
      <c r="HJ1037" s="133"/>
      <c r="HK1037" s="133"/>
      <c r="HL1037" s="133"/>
      <c r="HM1037" s="133"/>
      <c r="HN1037" s="133"/>
      <c r="HO1037" s="133"/>
      <c r="HP1037" s="133"/>
      <c r="HQ1037" s="133"/>
      <c r="HR1037" s="133"/>
      <c r="HS1037" s="133"/>
      <c r="HT1037" s="133"/>
      <c r="HU1037" s="133"/>
      <c r="HV1037" s="133"/>
      <c r="HW1037" s="133"/>
      <c r="HX1037" s="133"/>
      <c r="HY1037" s="133"/>
      <c r="HZ1037" s="133"/>
      <c r="IA1037" s="133"/>
      <c r="IB1037" s="133"/>
      <c r="IC1037" s="133"/>
      <c r="ID1037" s="133"/>
      <c r="IE1037" s="133"/>
      <c r="IF1037" s="133"/>
      <c r="IG1037" s="133"/>
      <c r="IH1037" s="133"/>
      <c r="II1037" s="133"/>
      <c r="IJ1037" s="133"/>
      <c r="IK1037" s="133"/>
      <c r="IL1037" s="133"/>
      <c r="IM1037" s="133"/>
      <c r="IN1037" s="133"/>
      <c r="IO1037" s="133"/>
      <c r="IP1037" s="133"/>
      <c r="IQ1037" s="133"/>
      <c r="IR1037" s="133"/>
      <c r="IS1037" s="133"/>
      <c r="IT1037" s="133"/>
      <c r="IU1037" s="133"/>
      <c r="IV1037" s="133"/>
    </row>
    <row r="1038" spans="1:256" s="132" customFormat="1" ht="13.8">
      <c r="A1038" s="133"/>
      <c r="B1038" s="133"/>
      <c r="C1038" s="133"/>
      <c r="D1038" s="133"/>
      <c r="E1038" s="133"/>
      <c r="F1038" s="133"/>
      <c r="G1038" s="133"/>
      <c r="H1038" s="133"/>
      <c r="I1038" s="133"/>
      <c r="J1038" s="133"/>
      <c r="K1038" s="133"/>
      <c r="L1038" s="133"/>
      <c r="M1038" s="133"/>
      <c r="N1038" s="133"/>
      <c r="O1038" s="133"/>
      <c r="P1038" s="133"/>
      <c r="GE1038" s="133"/>
      <c r="GF1038" s="133"/>
      <c r="GG1038" s="133"/>
      <c r="GH1038" s="133"/>
      <c r="GI1038" s="133"/>
      <c r="GJ1038" s="133"/>
      <c r="GK1038" s="133"/>
      <c r="GL1038" s="133"/>
      <c r="GM1038" s="133"/>
      <c r="GN1038" s="133"/>
      <c r="GO1038" s="133"/>
      <c r="GP1038" s="133"/>
      <c r="GQ1038" s="133"/>
      <c r="GR1038" s="133"/>
      <c r="GS1038" s="133"/>
      <c r="GT1038" s="133"/>
      <c r="GU1038" s="133"/>
      <c r="GV1038" s="133"/>
      <c r="GW1038" s="133"/>
      <c r="GX1038" s="133"/>
      <c r="GY1038" s="133"/>
      <c r="GZ1038" s="133"/>
      <c r="HA1038" s="133"/>
      <c r="HB1038" s="133"/>
      <c r="HC1038" s="133"/>
      <c r="HD1038" s="133"/>
      <c r="HE1038" s="133"/>
      <c r="HF1038" s="133"/>
      <c r="HG1038" s="133"/>
      <c r="HH1038" s="133"/>
      <c r="HI1038" s="133"/>
      <c r="HJ1038" s="133"/>
      <c r="HK1038" s="133"/>
      <c r="HL1038" s="133"/>
      <c r="HM1038" s="133"/>
      <c r="HN1038" s="133"/>
      <c r="HO1038" s="133"/>
      <c r="HP1038" s="133"/>
      <c r="HQ1038" s="133"/>
      <c r="HR1038" s="133"/>
      <c r="HS1038" s="133"/>
      <c r="HT1038" s="133"/>
      <c r="HU1038" s="133"/>
      <c r="HV1038" s="133"/>
      <c r="HW1038" s="133"/>
      <c r="HX1038" s="133"/>
      <c r="HY1038" s="133"/>
      <c r="HZ1038" s="133"/>
      <c r="IA1038" s="133"/>
      <c r="IB1038" s="133"/>
      <c r="IC1038" s="133"/>
      <c r="ID1038" s="133"/>
      <c r="IE1038" s="133"/>
      <c r="IF1038" s="133"/>
      <c r="IG1038" s="133"/>
      <c r="IH1038" s="133"/>
      <c r="II1038" s="133"/>
      <c r="IJ1038" s="133"/>
      <c r="IK1038" s="133"/>
      <c r="IL1038" s="133"/>
      <c r="IM1038" s="133"/>
      <c r="IN1038" s="133"/>
      <c r="IO1038" s="133"/>
      <c r="IP1038" s="133"/>
      <c r="IQ1038" s="133"/>
      <c r="IR1038" s="133"/>
      <c r="IS1038" s="133"/>
      <c r="IT1038" s="133"/>
      <c r="IU1038" s="133"/>
      <c r="IV1038" s="133"/>
    </row>
    <row r="1039" spans="1:256" s="132" customFormat="1" ht="13.8">
      <c r="A1039" s="133"/>
      <c r="B1039" s="133"/>
      <c r="C1039" s="133"/>
      <c r="D1039" s="133"/>
      <c r="E1039" s="133"/>
      <c r="F1039" s="133"/>
      <c r="G1039" s="133"/>
      <c r="H1039" s="133"/>
      <c r="I1039" s="133"/>
      <c r="J1039" s="133"/>
      <c r="K1039" s="133"/>
      <c r="L1039" s="133"/>
      <c r="M1039" s="133"/>
      <c r="N1039" s="133"/>
      <c r="O1039" s="133"/>
      <c r="P1039" s="133"/>
      <c r="GE1039" s="133"/>
      <c r="GF1039" s="133"/>
      <c r="GG1039" s="133"/>
      <c r="GH1039" s="133"/>
      <c r="GI1039" s="133"/>
      <c r="GJ1039" s="133"/>
      <c r="GK1039" s="133"/>
      <c r="GL1039" s="133"/>
      <c r="GM1039" s="133"/>
      <c r="GN1039" s="133"/>
      <c r="GO1039" s="133"/>
      <c r="GP1039" s="133"/>
      <c r="GQ1039" s="133"/>
      <c r="GR1039" s="133"/>
      <c r="GS1039" s="133"/>
      <c r="GT1039" s="133"/>
      <c r="GU1039" s="133"/>
      <c r="GV1039" s="133"/>
      <c r="GW1039" s="133"/>
      <c r="GX1039" s="133"/>
      <c r="GY1039" s="133"/>
      <c r="GZ1039" s="133"/>
      <c r="HA1039" s="133"/>
      <c r="HB1039" s="133"/>
      <c r="HC1039" s="133"/>
      <c r="HD1039" s="133"/>
      <c r="HE1039" s="133"/>
      <c r="HF1039" s="133"/>
      <c r="HG1039" s="133"/>
      <c r="HH1039" s="133"/>
      <c r="HI1039" s="133"/>
      <c r="HJ1039" s="133"/>
      <c r="HK1039" s="133"/>
      <c r="HL1039" s="133"/>
      <c r="HM1039" s="133"/>
      <c r="HN1039" s="133"/>
      <c r="HO1039" s="133"/>
      <c r="HP1039" s="133"/>
      <c r="HQ1039" s="133"/>
      <c r="HR1039" s="133"/>
      <c r="HS1039" s="133"/>
      <c r="HT1039" s="133"/>
      <c r="HU1039" s="133"/>
      <c r="HV1039" s="133"/>
      <c r="HW1039" s="133"/>
      <c r="HX1039" s="133"/>
      <c r="HY1039" s="133"/>
      <c r="HZ1039" s="133"/>
      <c r="IA1039" s="133"/>
      <c r="IB1039" s="133"/>
      <c r="IC1039" s="133"/>
      <c r="ID1039" s="133"/>
      <c r="IE1039" s="133"/>
      <c r="IF1039" s="133"/>
      <c r="IG1039" s="133"/>
      <c r="IH1039" s="133"/>
      <c r="II1039" s="133"/>
      <c r="IJ1039" s="133"/>
      <c r="IK1039" s="133"/>
      <c r="IL1039" s="133"/>
      <c r="IM1039" s="133"/>
      <c r="IN1039" s="133"/>
      <c r="IO1039" s="133"/>
      <c r="IP1039" s="133"/>
      <c r="IQ1039" s="133"/>
      <c r="IR1039" s="133"/>
      <c r="IS1039" s="133"/>
      <c r="IT1039" s="133"/>
      <c r="IU1039" s="133"/>
      <c r="IV1039" s="133"/>
    </row>
    <row r="1040" spans="1:256" s="132" customFormat="1" ht="13.8">
      <c r="A1040" s="133"/>
      <c r="B1040" s="133"/>
      <c r="C1040" s="133"/>
      <c r="D1040" s="133"/>
      <c r="E1040" s="133"/>
      <c r="F1040" s="133"/>
      <c r="G1040" s="133"/>
      <c r="H1040" s="133"/>
      <c r="I1040" s="133"/>
      <c r="J1040" s="133"/>
      <c r="K1040" s="133"/>
      <c r="L1040" s="133"/>
      <c r="M1040" s="133"/>
      <c r="N1040" s="133"/>
      <c r="O1040" s="133"/>
      <c r="P1040" s="133"/>
      <c r="GE1040" s="133"/>
      <c r="GF1040" s="133"/>
      <c r="GG1040" s="133"/>
      <c r="GH1040" s="133"/>
      <c r="GI1040" s="133"/>
      <c r="GJ1040" s="133"/>
      <c r="GK1040" s="133"/>
      <c r="GL1040" s="133"/>
      <c r="GM1040" s="133"/>
      <c r="GN1040" s="133"/>
      <c r="GO1040" s="133"/>
      <c r="GP1040" s="133"/>
      <c r="GQ1040" s="133"/>
      <c r="GR1040" s="133"/>
      <c r="GS1040" s="133"/>
      <c r="GT1040" s="133"/>
      <c r="GU1040" s="133"/>
      <c r="GV1040" s="133"/>
      <c r="GW1040" s="133"/>
      <c r="GX1040" s="133"/>
      <c r="GY1040" s="133"/>
      <c r="GZ1040" s="133"/>
      <c r="HA1040" s="133"/>
      <c r="HB1040" s="133"/>
      <c r="HC1040" s="133"/>
      <c r="HD1040" s="133"/>
      <c r="HE1040" s="133"/>
      <c r="HF1040" s="133"/>
      <c r="HG1040" s="133"/>
      <c r="HH1040" s="133"/>
      <c r="HI1040" s="133"/>
      <c r="HJ1040" s="133"/>
      <c r="HK1040" s="133"/>
      <c r="HL1040" s="133"/>
      <c r="HM1040" s="133"/>
      <c r="HN1040" s="133"/>
      <c r="HO1040" s="133"/>
      <c r="HP1040" s="133"/>
      <c r="HQ1040" s="133"/>
      <c r="HR1040" s="133"/>
      <c r="HS1040" s="133"/>
      <c r="HT1040" s="133"/>
      <c r="HU1040" s="133"/>
      <c r="HV1040" s="133"/>
      <c r="HW1040" s="133"/>
      <c r="HX1040" s="133"/>
      <c r="HY1040" s="133"/>
      <c r="HZ1040" s="133"/>
      <c r="IA1040" s="133"/>
      <c r="IB1040" s="133"/>
      <c r="IC1040" s="133"/>
      <c r="ID1040" s="133"/>
      <c r="IE1040" s="133"/>
      <c r="IF1040" s="133"/>
      <c r="IG1040" s="133"/>
      <c r="IH1040" s="133"/>
      <c r="II1040" s="133"/>
      <c r="IJ1040" s="133"/>
      <c r="IK1040" s="133"/>
      <c r="IL1040" s="133"/>
      <c r="IM1040" s="133"/>
      <c r="IN1040" s="133"/>
      <c r="IO1040" s="133"/>
      <c r="IP1040" s="133"/>
      <c r="IQ1040" s="133"/>
      <c r="IR1040" s="133"/>
      <c r="IS1040" s="133"/>
      <c r="IT1040" s="133"/>
      <c r="IU1040" s="133"/>
      <c r="IV1040" s="133"/>
    </row>
    <row r="1041" spans="1:256" s="132" customFormat="1" ht="13.8">
      <c r="A1041" s="133"/>
      <c r="B1041" s="133"/>
      <c r="C1041" s="133"/>
      <c r="D1041" s="133"/>
      <c r="E1041" s="133"/>
      <c r="F1041" s="133"/>
      <c r="G1041" s="133"/>
      <c r="H1041" s="133"/>
      <c r="I1041" s="133"/>
      <c r="J1041" s="133"/>
      <c r="K1041" s="133"/>
      <c r="L1041" s="133"/>
      <c r="M1041" s="133"/>
      <c r="N1041" s="133"/>
      <c r="O1041" s="133"/>
      <c r="P1041" s="133"/>
      <c r="GE1041" s="133"/>
      <c r="GF1041" s="133"/>
      <c r="GG1041" s="133"/>
      <c r="GH1041" s="133"/>
      <c r="GI1041" s="133"/>
      <c r="GJ1041" s="133"/>
      <c r="GK1041" s="133"/>
      <c r="GL1041" s="133"/>
      <c r="GM1041" s="133"/>
      <c r="GN1041" s="133"/>
      <c r="GO1041" s="133"/>
      <c r="GP1041" s="133"/>
      <c r="GQ1041" s="133"/>
      <c r="GR1041" s="133"/>
      <c r="GS1041" s="133"/>
      <c r="GT1041" s="133"/>
      <c r="GU1041" s="133"/>
      <c r="GV1041" s="133"/>
      <c r="GW1041" s="133"/>
      <c r="GX1041" s="133"/>
      <c r="GY1041" s="133"/>
      <c r="GZ1041" s="133"/>
      <c r="HA1041" s="133"/>
      <c r="HB1041" s="133"/>
      <c r="HC1041" s="133"/>
      <c r="HD1041" s="133"/>
      <c r="HE1041" s="133"/>
      <c r="HF1041" s="133"/>
      <c r="HG1041" s="133"/>
      <c r="HH1041" s="133"/>
      <c r="HI1041" s="133"/>
      <c r="HJ1041" s="133"/>
      <c r="HK1041" s="133"/>
      <c r="HL1041" s="133"/>
      <c r="HM1041" s="133"/>
      <c r="HN1041" s="133"/>
      <c r="HO1041" s="133"/>
      <c r="HP1041" s="133"/>
      <c r="HQ1041" s="133"/>
      <c r="HR1041" s="133"/>
      <c r="HS1041" s="133"/>
      <c r="HT1041" s="133"/>
      <c r="HU1041" s="133"/>
      <c r="HV1041" s="133"/>
      <c r="HW1041" s="133"/>
      <c r="HX1041" s="133"/>
      <c r="HY1041" s="133"/>
      <c r="HZ1041" s="133"/>
      <c r="IA1041" s="133"/>
      <c r="IB1041" s="133"/>
      <c r="IC1041" s="133"/>
      <c r="ID1041" s="133"/>
      <c r="IE1041" s="133"/>
      <c r="IF1041" s="133"/>
      <c r="IG1041" s="133"/>
      <c r="IH1041" s="133"/>
      <c r="II1041" s="133"/>
      <c r="IJ1041" s="133"/>
      <c r="IK1041" s="133"/>
      <c r="IL1041" s="133"/>
      <c r="IM1041" s="133"/>
      <c r="IN1041" s="133"/>
      <c r="IO1041" s="133"/>
      <c r="IP1041" s="133"/>
      <c r="IQ1041" s="133"/>
      <c r="IR1041" s="133"/>
      <c r="IS1041" s="133"/>
      <c r="IT1041" s="133"/>
      <c r="IU1041" s="133"/>
      <c r="IV1041" s="133"/>
    </row>
    <row r="1042" spans="1:256" s="132" customFormat="1" ht="13.8">
      <c r="A1042" s="133"/>
      <c r="B1042" s="133"/>
      <c r="C1042" s="133"/>
      <c r="D1042" s="133"/>
      <c r="E1042" s="133"/>
      <c r="F1042" s="133"/>
      <c r="G1042" s="133"/>
      <c r="H1042" s="133"/>
      <c r="I1042" s="133"/>
      <c r="J1042" s="133"/>
      <c r="K1042" s="133"/>
      <c r="L1042" s="133"/>
      <c r="M1042" s="133"/>
      <c r="N1042" s="133"/>
      <c r="O1042" s="133"/>
      <c r="P1042" s="133"/>
      <c r="GE1042" s="133"/>
      <c r="GF1042" s="133"/>
      <c r="GG1042" s="133"/>
      <c r="GH1042" s="133"/>
      <c r="GI1042" s="133"/>
      <c r="GJ1042" s="133"/>
      <c r="GK1042" s="133"/>
      <c r="GL1042" s="133"/>
      <c r="GM1042" s="133"/>
      <c r="GN1042" s="133"/>
      <c r="GO1042" s="133"/>
      <c r="GP1042" s="133"/>
      <c r="GQ1042" s="133"/>
      <c r="GR1042" s="133"/>
      <c r="GS1042" s="133"/>
      <c r="GT1042" s="133"/>
      <c r="GU1042" s="133"/>
      <c r="GV1042" s="133"/>
      <c r="GW1042" s="133"/>
      <c r="GX1042" s="133"/>
      <c r="GY1042" s="133"/>
      <c r="GZ1042" s="133"/>
      <c r="HA1042" s="133"/>
      <c r="HB1042" s="133"/>
      <c r="HC1042" s="133"/>
      <c r="HD1042" s="133"/>
      <c r="HE1042" s="133"/>
      <c r="HF1042" s="133"/>
      <c r="HG1042" s="133"/>
      <c r="HH1042" s="133"/>
      <c r="HI1042" s="133"/>
      <c r="HJ1042" s="133"/>
      <c r="HK1042" s="133"/>
      <c r="HL1042" s="133"/>
      <c r="HM1042" s="133"/>
      <c r="HN1042" s="133"/>
      <c r="HO1042" s="133"/>
      <c r="HP1042" s="133"/>
      <c r="HQ1042" s="133"/>
      <c r="HR1042" s="133"/>
      <c r="HS1042" s="133"/>
      <c r="HT1042" s="133"/>
      <c r="HU1042" s="133"/>
      <c r="HV1042" s="133"/>
      <c r="HW1042" s="133"/>
      <c r="HX1042" s="133"/>
      <c r="HY1042" s="133"/>
      <c r="HZ1042" s="133"/>
      <c r="IA1042" s="133"/>
      <c r="IB1042" s="133"/>
      <c r="IC1042" s="133"/>
      <c r="ID1042" s="133"/>
      <c r="IE1042" s="133"/>
      <c r="IF1042" s="133"/>
      <c r="IG1042" s="133"/>
      <c r="IH1042" s="133"/>
      <c r="II1042" s="133"/>
      <c r="IJ1042" s="133"/>
      <c r="IK1042" s="133"/>
      <c r="IL1042" s="133"/>
      <c r="IM1042" s="133"/>
      <c r="IN1042" s="133"/>
      <c r="IO1042" s="133"/>
      <c r="IP1042" s="133"/>
      <c r="IQ1042" s="133"/>
      <c r="IR1042" s="133"/>
      <c r="IS1042" s="133"/>
      <c r="IT1042" s="133"/>
      <c r="IU1042" s="133"/>
      <c r="IV1042" s="133"/>
    </row>
    <row r="1043" spans="1:256" s="132" customFormat="1" ht="13.8">
      <c r="A1043" s="133"/>
      <c r="B1043" s="133"/>
      <c r="C1043" s="133"/>
      <c r="D1043" s="133"/>
      <c r="E1043" s="133"/>
      <c r="F1043" s="133"/>
      <c r="G1043" s="133"/>
      <c r="H1043" s="133"/>
      <c r="I1043" s="133"/>
      <c r="J1043" s="133"/>
      <c r="K1043" s="133"/>
      <c r="L1043" s="133"/>
      <c r="M1043" s="133"/>
      <c r="N1043" s="133"/>
      <c r="O1043" s="133"/>
      <c r="P1043" s="133"/>
      <c r="GE1043" s="133"/>
      <c r="GF1043" s="133"/>
      <c r="GG1043" s="133"/>
      <c r="GH1043" s="133"/>
      <c r="GI1043" s="133"/>
      <c r="GJ1043" s="133"/>
      <c r="GK1043" s="133"/>
      <c r="GL1043" s="133"/>
      <c r="GM1043" s="133"/>
      <c r="GN1043" s="133"/>
      <c r="GO1043" s="133"/>
      <c r="GP1043" s="133"/>
      <c r="GQ1043" s="133"/>
      <c r="GR1043" s="133"/>
      <c r="GS1043" s="133"/>
      <c r="GT1043" s="133"/>
      <c r="GU1043" s="133"/>
      <c r="GV1043" s="133"/>
      <c r="GW1043" s="133"/>
      <c r="GX1043" s="133"/>
      <c r="GY1043" s="133"/>
      <c r="GZ1043" s="133"/>
      <c r="HA1043" s="133"/>
      <c r="HB1043" s="133"/>
      <c r="HC1043" s="133"/>
      <c r="HD1043" s="133"/>
      <c r="HE1043" s="133"/>
      <c r="HF1043" s="133"/>
      <c r="HG1043" s="133"/>
      <c r="HH1043" s="133"/>
      <c r="HI1043" s="133"/>
      <c r="HJ1043" s="133"/>
      <c r="HK1043" s="133"/>
      <c r="HL1043" s="133"/>
      <c r="HM1043" s="133"/>
      <c r="HN1043" s="133"/>
      <c r="HO1043" s="133"/>
      <c r="HP1043" s="133"/>
      <c r="HQ1043" s="133"/>
      <c r="HR1043" s="133"/>
      <c r="HS1043" s="133"/>
      <c r="HT1043" s="133"/>
      <c r="HU1043" s="133"/>
      <c r="HV1043" s="133"/>
      <c r="HW1043" s="133"/>
      <c r="HX1043" s="133"/>
      <c r="HY1043" s="133"/>
      <c r="HZ1043" s="133"/>
      <c r="IA1043" s="133"/>
      <c r="IB1043" s="133"/>
      <c r="IC1043" s="133"/>
      <c r="ID1043" s="133"/>
      <c r="IE1043" s="133"/>
      <c r="IF1043" s="133"/>
      <c r="IG1043" s="133"/>
      <c r="IH1043" s="133"/>
      <c r="II1043" s="133"/>
      <c r="IJ1043" s="133"/>
      <c r="IK1043" s="133"/>
      <c r="IL1043" s="133"/>
      <c r="IM1043" s="133"/>
      <c r="IN1043" s="133"/>
      <c r="IO1043" s="133"/>
      <c r="IP1043" s="133"/>
      <c r="IQ1043" s="133"/>
      <c r="IR1043" s="133"/>
      <c r="IS1043" s="133"/>
      <c r="IT1043" s="133"/>
      <c r="IU1043" s="133"/>
      <c r="IV1043" s="133"/>
    </row>
    <row r="1044" spans="1:256" s="132" customFormat="1" ht="13.8">
      <c r="A1044" s="133"/>
      <c r="B1044" s="133"/>
      <c r="C1044" s="133"/>
      <c r="D1044" s="133"/>
      <c r="E1044" s="133"/>
      <c r="F1044" s="133"/>
      <c r="G1044" s="133"/>
      <c r="H1044" s="133"/>
      <c r="I1044" s="133"/>
      <c r="J1044" s="133"/>
      <c r="K1044" s="133"/>
      <c r="L1044" s="133"/>
      <c r="M1044" s="133"/>
      <c r="N1044" s="133"/>
      <c r="O1044" s="133"/>
      <c r="P1044" s="133"/>
      <c r="GE1044" s="133"/>
      <c r="GF1044" s="133"/>
      <c r="GG1044" s="133"/>
      <c r="GH1044" s="133"/>
      <c r="GI1044" s="133"/>
      <c r="GJ1044" s="133"/>
      <c r="GK1044" s="133"/>
      <c r="GL1044" s="133"/>
      <c r="GM1044" s="133"/>
      <c r="GN1044" s="133"/>
      <c r="GO1044" s="133"/>
      <c r="GP1044" s="133"/>
      <c r="GQ1044" s="133"/>
      <c r="GR1044" s="133"/>
      <c r="GS1044" s="133"/>
      <c r="GT1044" s="133"/>
      <c r="GU1044" s="133"/>
      <c r="GV1044" s="133"/>
      <c r="GW1044" s="133"/>
      <c r="GX1044" s="133"/>
      <c r="GY1044" s="133"/>
      <c r="GZ1044" s="133"/>
      <c r="HA1044" s="133"/>
      <c r="HB1044" s="133"/>
      <c r="HC1044" s="133"/>
      <c r="HD1044" s="133"/>
      <c r="HE1044" s="133"/>
      <c r="HF1044" s="133"/>
      <c r="HG1044" s="133"/>
      <c r="HH1044" s="133"/>
      <c r="HI1044" s="133"/>
      <c r="HJ1044" s="133"/>
      <c r="HK1044" s="133"/>
      <c r="HL1044" s="133"/>
      <c r="HM1044" s="133"/>
      <c r="HN1044" s="133"/>
      <c r="HO1044" s="133"/>
      <c r="HP1044" s="133"/>
      <c r="HQ1044" s="133"/>
      <c r="HR1044" s="133"/>
      <c r="HS1044" s="133"/>
      <c r="HT1044" s="133"/>
      <c r="HU1044" s="133"/>
      <c r="HV1044" s="133"/>
      <c r="HW1044" s="133"/>
      <c r="HX1044" s="133"/>
      <c r="HY1044" s="133"/>
      <c r="HZ1044" s="133"/>
      <c r="IA1044" s="133"/>
      <c r="IB1044" s="133"/>
      <c r="IC1044" s="133"/>
      <c r="ID1044" s="133"/>
      <c r="IE1044" s="133"/>
      <c r="IF1044" s="133"/>
      <c r="IG1044" s="133"/>
      <c r="IH1044" s="133"/>
      <c r="II1044" s="133"/>
      <c r="IJ1044" s="133"/>
      <c r="IK1044" s="133"/>
      <c r="IL1044" s="133"/>
      <c r="IM1044" s="133"/>
      <c r="IN1044" s="133"/>
      <c r="IO1044" s="133"/>
      <c r="IP1044" s="133"/>
      <c r="IQ1044" s="133"/>
      <c r="IR1044" s="133"/>
      <c r="IS1044" s="133"/>
      <c r="IT1044" s="133"/>
      <c r="IU1044" s="133"/>
      <c r="IV1044" s="133"/>
    </row>
    <row r="1045" spans="1:256" s="132" customFormat="1" ht="13.8">
      <c r="A1045" s="133"/>
      <c r="B1045" s="133"/>
      <c r="C1045" s="133"/>
      <c r="D1045" s="133"/>
      <c r="E1045" s="133"/>
      <c r="F1045" s="133"/>
      <c r="G1045" s="133"/>
      <c r="H1045" s="133"/>
      <c r="I1045" s="133"/>
      <c r="J1045" s="133"/>
      <c r="K1045" s="133"/>
      <c r="L1045" s="133"/>
      <c r="M1045" s="133"/>
      <c r="N1045" s="133"/>
      <c r="O1045" s="133"/>
      <c r="P1045" s="133"/>
      <c r="GE1045" s="133"/>
      <c r="GF1045" s="133"/>
      <c r="GG1045" s="133"/>
      <c r="GH1045" s="133"/>
      <c r="GI1045" s="133"/>
      <c r="GJ1045" s="133"/>
      <c r="GK1045" s="133"/>
      <c r="GL1045" s="133"/>
      <c r="GM1045" s="133"/>
      <c r="GN1045" s="133"/>
      <c r="GO1045" s="133"/>
      <c r="GP1045" s="133"/>
      <c r="GQ1045" s="133"/>
      <c r="GR1045" s="133"/>
      <c r="GS1045" s="133"/>
      <c r="GT1045" s="133"/>
      <c r="GU1045" s="133"/>
      <c r="GV1045" s="133"/>
      <c r="GW1045" s="133"/>
      <c r="GX1045" s="133"/>
      <c r="GY1045" s="133"/>
      <c r="GZ1045" s="133"/>
      <c r="HA1045" s="133"/>
      <c r="HB1045" s="133"/>
      <c r="HC1045" s="133"/>
      <c r="HD1045" s="133"/>
      <c r="HE1045" s="133"/>
      <c r="HF1045" s="133"/>
      <c r="HG1045" s="133"/>
      <c r="HH1045" s="133"/>
      <c r="HI1045" s="133"/>
      <c r="HJ1045" s="133"/>
      <c r="HK1045" s="133"/>
      <c r="HL1045" s="133"/>
      <c r="HM1045" s="133"/>
      <c r="HN1045" s="133"/>
      <c r="HO1045" s="133"/>
      <c r="HP1045" s="133"/>
      <c r="HQ1045" s="133"/>
      <c r="HR1045" s="133"/>
      <c r="HS1045" s="133"/>
      <c r="HT1045" s="133"/>
      <c r="HU1045" s="133"/>
      <c r="HV1045" s="133"/>
      <c r="HW1045" s="133"/>
      <c r="HX1045" s="133"/>
      <c r="HY1045" s="133"/>
      <c r="HZ1045" s="133"/>
      <c r="IA1045" s="133"/>
      <c r="IB1045" s="133"/>
      <c r="IC1045" s="133"/>
      <c r="ID1045" s="133"/>
      <c r="IE1045" s="133"/>
      <c r="IF1045" s="133"/>
      <c r="IG1045" s="133"/>
      <c r="IH1045" s="133"/>
      <c r="II1045" s="133"/>
      <c r="IJ1045" s="133"/>
      <c r="IK1045" s="133"/>
      <c r="IL1045" s="133"/>
      <c r="IM1045" s="133"/>
      <c r="IN1045" s="133"/>
      <c r="IO1045" s="133"/>
      <c r="IP1045" s="133"/>
      <c r="IQ1045" s="133"/>
      <c r="IR1045" s="133"/>
      <c r="IS1045" s="133"/>
      <c r="IT1045" s="133"/>
      <c r="IU1045" s="133"/>
      <c r="IV1045" s="133"/>
    </row>
    <row r="1046" spans="1:256" s="132" customFormat="1" ht="13.8">
      <c r="A1046" s="133"/>
      <c r="B1046" s="133"/>
      <c r="C1046" s="133"/>
      <c r="D1046" s="133"/>
      <c r="E1046" s="133"/>
      <c r="F1046" s="133"/>
      <c r="G1046" s="133"/>
      <c r="H1046" s="133"/>
      <c r="I1046" s="133"/>
      <c r="J1046" s="133"/>
      <c r="K1046" s="133"/>
      <c r="L1046" s="133"/>
      <c r="M1046" s="133"/>
      <c r="N1046" s="133"/>
      <c r="O1046" s="133"/>
      <c r="P1046" s="133"/>
      <c r="GE1046" s="133"/>
      <c r="GF1046" s="133"/>
      <c r="GG1046" s="133"/>
      <c r="GH1046" s="133"/>
      <c r="GI1046" s="133"/>
      <c r="GJ1046" s="133"/>
      <c r="GK1046" s="133"/>
      <c r="GL1046" s="133"/>
      <c r="GM1046" s="133"/>
      <c r="GN1046" s="133"/>
      <c r="GO1046" s="133"/>
      <c r="GP1046" s="133"/>
      <c r="GQ1046" s="133"/>
      <c r="GR1046" s="133"/>
      <c r="GS1046" s="133"/>
      <c r="GT1046" s="133"/>
      <c r="GU1046" s="133"/>
      <c r="GV1046" s="133"/>
      <c r="GW1046" s="133"/>
      <c r="GX1046" s="133"/>
      <c r="GY1046" s="133"/>
      <c r="GZ1046" s="133"/>
      <c r="HA1046" s="133"/>
      <c r="HB1046" s="133"/>
      <c r="HC1046" s="133"/>
      <c r="HD1046" s="133"/>
      <c r="HE1046" s="133"/>
      <c r="HF1046" s="133"/>
      <c r="HG1046" s="133"/>
      <c r="HH1046" s="133"/>
      <c r="HI1046" s="133"/>
      <c r="HJ1046" s="133"/>
      <c r="HK1046" s="133"/>
      <c r="HL1046" s="133"/>
      <c r="HM1046" s="133"/>
      <c r="HN1046" s="133"/>
      <c r="HO1046" s="133"/>
      <c r="HP1046" s="133"/>
      <c r="HQ1046" s="133"/>
      <c r="HR1046" s="133"/>
      <c r="HS1046" s="133"/>
      <c r="HT1046" s="133"/>
      <c r="HU1046" s="133"/>
      <c r="HV1046" s="133"/>
      <c r="HW1046" s="133"/>
      <c r="HX1046" s="133"/>
      <c r="HY1046" s="133"/>
      <c r="HZ1046" s="133"/>
      <c r="IA1046" s="133"/>
      <c r="IB1046" s="133"/>
      <c r="IC1046" s="133"/>
      <c r="ID1046" s="133"/>
      <c r="IE1046" s="133"/>
      <c r="IF1046" s="133"/>
      <c r="IG1046" s="133"/>
      <c r="IH1046" s="133"/>
      <c r="II1046" s="133"/>
      <c r="IJ1046" s="133"/>
      <c r="IK1046" s="133"/>
      <c r="IL1046" s="133"/>
      <c r="IM1046" s="133"/>
      <c r="IN1046" s="133"/>
      <c r="IO1046" s="133"/>
      <c r="IP1046" s="133"/>
      <c r="IQ1046" s="133"/>
      <c r="IR1046" s="133"/>
      <c r="IS1046" s="133"/>
      <c r="IT1046" s="133"/>
      <c r="IU1046" s="133"/>
      <c r="IV1046" s="133"/>
    </row>
    <row r="1047" spans="1:256" s="132" customFormat="1" ht="13.8">
      <c r="A1047" s="133"/>
      <c r="B1047" s="133"/>
      <c r="C1047" s="133"/>
      <c r="D1047" s="133"/>
      <c r="E1047" s="133"/>
      <c r="F1047" s="133"/>
      <c r="G1047" s="133"/>
      <c r="H1047" s="133"/>
      <c r="I1047" s="133"/>
      <c r="J1047" s="133"/>
      <c r="K1047" s="133"/>
      <c r="L1047" s="133"/>
      <c r="M1047" s="133"/>
      <c r="N1047" s="133"/>
      <c r="O1047" s="133"/>
      <c r="P1047" s="133"/>
      <c r="GE1047" s="133"/>
      <c r="GF1047" s="133"/>
      <c r="GG1047" s="133"/>
      <c r="GH1047" s="133"/>
      <c r="GI1047" s="133"/>
      <c r="GJ1047" s="133"/>
      <c r="GK1047" s="133"/>
      <c r="GL1047" s="133"/>
      <c r="GM1047" s="133"/>
      <c r="GN1047" s="133"/>
      <c r="GO1047" s="133"/>
      <c r="GP1047" s="133"/>
      <c r="GQ1047" s="133"/>
      <c r="GR1047" s="133"/>
      <c r="GS1047" s="133"/>
      <c r="GT1047" s="133"/>
      <c r="GU1047" s="133"/>
      <c r="GV1047" s="133"/>
      <c r="GW1047" s="133"/>
      <c r="GX1047" s="133"/>
      <c r="GY1047" s="133"/>
      <c r="GZ1047" s="133"/>
      <c r="HA1047" s="133"/>
      <c r="HB1047" s="133"/>
      <c r="HC1047" s="133"/>
      <c r="HD1047" s="133"/>
      <c r="HE1047" s="133"/>
      <c r="HF1047" s="133"/>
      <c r="HG1047" s="133"/>
      <c r="HH1047" s="133"/>
      <c r="HI1047" s="133"/>
      <c r="HJ1047" s="133"/>
      <c r="HK1047" s="133"/>
      <c r="HL1047" s="133"/>
      <c r="HM1047" s="133"/>
      <c r="HN1047" s="133"/>
      <c r="HO1047" s="133"/>
      <c r="HP1047" s="133"/>
      <c r="HQ1047" s="133"/>
      <c r="HR1047" s="133"/>
      <c r="HS1047" s="133"/>
      <c r="HT1047" s="133"/>
      <c r="HU1047" s="133"/>
      <c r="HV1047" s="133"/>
      <c r="HW1047" s="133"/>
      <c r="HX1047" s="133"/>
      <c r="HY1047" s="133"/>
      <c r="HZ1047" s="133"/>
      <c r="IA1047" s="133"/>
      <c r="IB1047" s="133"/>
      <c r="IC1047" s="133"/>
      <c r="ID1047" s="133"/>
      <c r="IE1047" s="133"/>
      <c r="IF1047" s="133"/>
      <c r="IG1047" s="133"/>
      <c r="IH1047" s="133"/>
      <c r="II1047" s="133"/>
      <c r="IJ1047" s="133"/>
      <c r="IK1047" s="133"/>
      <c r="IL1047" s="133"/>
      <c r="IM1047" s="133"/>
      <c r="IN1047" s="133"/>
      <c r="IO1047" s="133"/>
      <c r="IP1047" s="133"/>
      <c r="IQ1047" s="133"/>
      <c r="IR1047" s="133"/>
      <c r="IS1047" s="133"/>
      <c r="IT1047" s="133"/>
      <c r="IU1047" s="133"/>
      <c r="IV1047" s="133"/>
    </row>
    <row r="1048" spans="1:256" s="132" customFormat="1" ht="13.8">
      <c r="A1048" s="133"/>
      <c r="B1048" s="133"/>
      <c r="C1048" s="133"/>
      <c r="D1048" s="133"/>
      <c r="E1048" s="133"/>
      <c r="F1048" s="133"/>
      <c r="G1048" s="133"/>
      <c r="H1048" s="133"/>
      <c r="I1048" s="133"/>
      <c r="J1048" s="133"/>
      <c r="K1048" s="133"/>
      <c r="L1048" s="133"/>
      <c r="M1048" s="133"/>
      <c r="N1048" s="133"/>
      <c r="O1048" s="133"/>
      <c r="P1048" s="133"/>
      <c r="GE1048" s="133"/>
      <c r="GF1048" s="133"/>
      <c r="GG1048" s="133"/>
      <c r="GH1048" s="133"/>
      <c r="GI1048" s="133"/>
      <c r="GJ1048" s="133"/>
      <c r="GK1048" s="133"/>
      <c r="GL1048" s="133"/>
      <c r="GM1048" s="133"/>
      <c r="GN1048" s="133"/>
      <c r="GO1048" s="133"/>
      <c r="GP1048" s="133"/>
      <c r="GQ1048" s="133"/>
      <c r="GR1048" s="133"/>
      <c r="GS1048" s="133"/>
      <c r="GT1048" s="133"/>
      <c r="GU1048" s="133"/>
      <c r="GV1048" s="133"/>
      <c r="GW1048" s="133"/>
      <c r="GX1048" s="133"/>
      <c r="GY1048" s="133"/>
      <c r="GZ1048" s="133"/>
      <c r="HA1048" s="133"/>
      <c r="HB1048" s="133"/>
      <c r="HC1048" s="133"/>
      <c r="HD1048" s="133"/>
      <c r="HE1048" s="133"/>
      <c r="HF1048" s="133"/>
      <c r="HG1048" s="133"/>
      <c r="HH1048" s="133"/>
      <c r="HI1048" s="133"/>
      <c r="HJ1048" s="133"/>
      <c r="HK1048" s="133"/>
      <c r="HL1048" s="133"/>
      <c r="HM1048" s="133"/>
      <c r="HN1048" s="133"/>
      <c r="HO1048" s="133"/>
      <c r="HP1048" s="133"/>
      <c r="HQ1048" s="133"/>
      <c r="HR1048" s="133"/>
      <c r="HS1048" s="133"/>
      <c r="HT1048" s="133"/>
      <c r="HU1048" s="133"/>
      <c r="HV1048" s="133"/>
      <c r="HW1048" s="133"/>
      <c r="HX1048" s="133"/>
      <c r="HY1048" s="133"/>
      <c r="HZ1048" s="133"/>
      <c r="IA1048" s="133"/>
      <c r="IB1048" s="133"/>
      <c r="IC1048" s="133"/>
      <c r="ID1048" s="133"/>
      <c r="IE1048" s="133"/>
      <c r="IF1048" s="133"/>
      <c r="IG1048" s="133"/>
      <c r="IH1048" s="133"/>
      <c r="II1048" s="133"/>
      <c r="IJ1048" s="133"/>
      <c r="IK1048" s="133"/>
      <c r="IL1048" s="133"/>
      <c r="IM1048" s="133"/>
      <c r="IN1048" s="133"/>
      <c r="IO1048" s="133"/>
      <c r="IP1048" s="133"/>
      <c r="IQ1048" s="133"/>
      <c r="IR1048" s="133"/>
      <c r="IS1048" s="133"/>
      <c r="IT1048" s="133"/>
      <c r="IU1048" s="133"/>
      <c r="IV1048" s="133"/>
    </row>
    <row r="1049" spans="1:256" s="132" customFormat="1" ht="13.8">
      <c r="A1049" s="133"/>
      <c r="B1049" s="133"/>
      <c r="C1049" s="133"/>
      <c r="D1049" s="133"/>
      <c r="E1049" s="133"/>
      <c r="F1049" s="133"/>
      <c r="G1049" s="133"/>
      <c r="H1049" s="133"/>
      <c r="I1049" s="133"/>
      <c r="J1049" s="133"/>
      <c r="K1049" s="133"/>
      <c r="L1049" s="133"/>
      <c r="M1049" s="133"/>
      <c r="N1049" s="133"/>
      <c r="O1049" s="133"/>
      <c r="P1049" s="133"/>
      <c r="GE1049" s="133"/>
      <c r="GF1049" s="133"/>
      <c r="GG1049" s="133"/>
      <c r="GH1049" s="133"/>
      <c r="GI1049" s="133"/>
      <c r="GJ1049" s="133"/>
      <c r="GK1049" s="133"/>
      <c r="GL1049" s="133"/>
      <c r="GM1049" s="133"/>
      <c r="GN1049" s="133"/>
      <c r="GO1049" s="133"/>
      <c r="GP1049" s="133"/>
      <c r="GQ1049" s="133"/>
      <c r="GR1049" s="133"/>
      <c r="GS1049" s="133"/>
      <c r="GT1049" s="133"/>
      <c r="GU1049" s="133"/>
      <c r="GV1049" s="133"/>
      <c r="GW1049" s="133"/>
      <c r="GX1049" s="133"/>
      <c r="GY1049" s="133"/>
      <c r="GZ1049" s="133"/>
      <c r="HA1049" s="133"/>
      <c r="HB1049" s="133"/>
      <c r="HC1049" s="133"/>
      <c r="HD1049" s="133"/>
      <c r="HE1049" s="133"/>
      <c r="HF1049" s="133"/>
      <c r="HG1049" s="133"/>
      <c r="HH1049" s="133"/>
      <c r="HI1049" s="133"/>
      <c r="HJ1049" s="133"/>
      <c r="HK1049" s="133"/>
      <c r="HL1049" s="133"/>
      <c r="HM1049" s="133"/>
      <c r="HN1049" s="133"/>
      <c r="HO1049" s="133"/>
      <c r="HP1049" s="133"/>
      <c r="HQ1049" s="133"/>
      <c r="HR1049" s="133"/>
      <c r="HS1049" s="133"/>
      <c r="HT1049" s="133"/>
      <c r="HU1049" s="133"/>
      <c r="HV1049" s="133"/>
      <c r="HW1049" s="133"/>
      <c r="HX1049" s="133"/>
      <c r="HY1049" s="133"/>
      <c r="HZ1049" s="133"/>
      <c r="IA1049" s="133"/>
      <c r="IB1049" s="133"/>
      <c r="IC1049" s="133"/>
      <c r="ID1049" s="133"/>
      <c r="IE1049" s="133"/>
      <c r="IF1049" s="133"/>
      <c r="IG1049" s="133"/>
      <c r="IH1049" s="133"/>
      <c r="II1049" s="133"/>
      <c r="IJ1049" s="133"/>
      <c r="IK1049" s="133"/>
      <c r="IL1049" s="133"/>
      <c r="IM1049" s="133"/>
      <c r="IN1049" s="133"/>
      <c r="IO1049" s="133"/>
      <c r="IP1049" s="133"/>
      <c r="IQ1049" s="133"/>
      <c r="IR1049" s="133"/>
      <c r="IS1049" s="133"/>
      <c r="IT1049" s="133"/>
      <c r="IU1049" s="133"/>
      <c r="IV1049" s="133"/>
    </row>
    <row r="1050" spans="1:256" s="132" customFormat="1" ht="13.8">
      <c r="A1050" s="133"/>
      <c r="B1050" s="133"/>
      <c r="C1050" s="133"/>
      <c r="D1050" s="133"/>
      <c r="E1050" s="133"/>
      <c r="F1050" s="133"/>
      <c r="G1050" s="133"/>
      <c r="H1050" s="133"/>
      <c r="I1050" s="133"/>
      <c r="J1050" s="133"/>
      <c r="K1050" s="133"/>
      <c r="L1050" s="133"/>
      <c r="M1050" s="133"/>
      <c r="N1050" s="133"/>
      <c r="O1050" s="133"/>
      <c r="P1050" s="133"/>
      <c r="GE1050" s="133"/>
      <c r="GF1050" s="133"/>
      <c r="GG1050" s="133"/>
      <c r="GH1050" s="133"/>
      <c r="GI1050" s="133"/>
      <c r="GJ1050" s="133"/>
      <c r="GK1050" s="133"/>
      <c r="GL1050" s="133"/>
      <c r="GM1050" s="133"/>
      <c r="GN1050" s="133"/>
      <c r="GO1050" s="133"/>
      <c r="GP1050" s="133"/>
      <c r="GQ1050" s="133"/>
      <c r="GR1050" s="133"/>
      <c r="GS1050" s="133"/>
      <c r="GT1050" s="133"/>
      <c r="GU1050" s="133"/>
      <c r="GV1050" s="133"/>
      <c r="GW1050" s="133"/>
      <c r="GX1050" s="133"/>
      <c r="GY1050" s="133"/>
      <c r="GZ1050" s="133"/>
      <c r="HA1050" s="133"/>
      <c r="HB1050" s="133"/>
      <c r="HC1050" s="133"/>
      <c r="HD1050" s="133"/>
      <c r="HE1050" s="133"/>
      <c r="HF1050" s="133"/>
      <c r="HG1050" s="133"/>
      <c r="HH1050" s="133"/>
      <c r="HI1050" s="133"/>
      <c r="HJ1050" s="133"/>
      <c r="HK1050" s="133"/>
      <c r="HL1050" s="133"/>
      <c r="HM1050" s="133"/>
      <c r="HN1050" s="133"/>
      <c r="HO1050" s="133"/>
      <c r="HP1050" s="133"/>
      <c r="HQ1050" s="133"/>
      <c r="HR1050" s="133"/>
      <c r="HS1050" s="133"/>
      <c r="HT1050" s="133"/>
      <c r="HU1050" s="133"/>
      <c r="HV1050" s="133"/>
      <c r="HW1050" s="133"/>
      <c r="HX1050" s="133"/>
      <c r="HY1050" s="133"/>
      <c r="HZ1050" s="133"/>
      <c r="IA1050" s="133"/>
      <c r="IB1050" s="133"/>
      <c r="IC1050" s="133"/>
      <c r="ID1050" s="133"/>
      <c r="IE1050" s="133"/>
      <c r="IF1050" s="133"/>
      <c r="IG1050" s="133"/>
      <c r="IH1050" s="133"/>
      <c r="II1050" s="133"/>
      <c r="IJ1050" s="133"/>
      <c r="IK1050" s="133"/>
      <c r="IL1050" s="133"/>
      <c r="IM1050" s="133"/>
      <c r="IN1050" s="133"/>
      <c r="IO1050" s="133"/>
      <c r="IP1050" s="133"/>
      <c r="IQ1050" s="133"/>
      <c r="IR1050" s="133"/>
      <c r="IS1050" s="133"/>
      <c r="IT1050" s="133"/>
      <c r="IU1050" s="133"/>
      <c r="IV1050" s="133"/>
    </row>
    <row r="1051" spans="1:256" s="132" customFormat="1" ht="13.8">
      <c r="A1051" s="133"/>
      <c r="B1051" s="133"/>
      <c r="C1051" s="133"/>
      <c r="D1051" s="133"/>
      <c r="E1051" s="133"/>
      <c r="F1051" s="133"/>
      <c r="G1051" s="133"/>
      <c r="H1051" s="133"/>
      <c r="I1051" s="133"/>
      <c r="J1051" s="133"/>
      <c r="K1051" s="133"/>
      <c r="L1051" s="133"/>
      <c r="M1051" s="133"/>
      <c r="N1051" s="133"/>
      <c r="O1051" s="133"/>
      <c r="P1051" s="133"/>
      <c r="GE1051" s="133"/>
      <c r="GF1051" s="133"/>
      <c r="GG1051" s="133"/>
      <c r="GH1051" s="133"/>
      <c r="GI1051" s="133"/>
      <c r="GJ1051" s="133"/>
      <c r="GK1051" s="133"/>
      <c r="GL1051" s="133"/>
      <c r="GM1051" s="133"/>
      <c r="GN1051" s="133"/>
      <c r="GO1051" s="133"/>
      <c r="GP1051" s="133"/>
      <c r="GQ1051" s="133"/>
      <c r="GR1051" s="133"/>
      <c r="GS1051" s="133"/>
      <c r="GT1051" s="133"/>
      <c r="GU1051" s="133"/>
      <c r="GV1051" s="133"/>
      <c r="GW1051" s="133"/>
      <c r="GX1051" s="133"/>
      <c r="GY1051" s="133"/>
      <c r="GZ1051" s="133"/>
      <c r="HA1051" s="133"/>
      <c r="HB1051" s="133"/>
      <c r="HC1051" s="133"/>
      <c r="HD1051" s="133"/>
      <c r="HE1051" s="133"/>
      <c r="HF1051" s="133"/>
      <c r="HG1051" s="133"/>
      <c r="HH1051" s="133"/>
      <c r="HI1051" s="133"/>
      <c r="HJ1051" s="133"/>
      <c r="HK1051" s="133"/>
      <c r="HL1051" s="133"/>
      <c r="HM1051" s="133"/>
      <c r="HN1051" s="133"/>
      <c r="HO1051" s="133"/>
      <c r="HP1051" s="133"/>
      <c r="HQ1051" s="133"/>
      <c r="HR1051" s="133"/>
      <c r="HS1051" s="133"/>
      <c r="HT1051" s="133"/>
      <c r="HU1051" s="133"/>
      <c r="HV1051" s="133"/>
      <c r="HW1051" s="133"/>
      <c r="HX1051" s="133"/>
      <c r="HY1051" s="133"/>
      <c r="HZ1051" s="133"/>
      <c r="IA1051" s="133"/>
      <c r="IB1051" s="133"/>
      <c r="IC1051" s="133"/>
      <c r="ID1051" s="133"/>
      <c r="IE1051" s="133"/>
      <c r="IF1051" s="133"/>
      <c r="IG1051" s="133"/>
      <c r="IH1051" s="133"/>
      <c r="II1051" s="133"/>
      <c r="IJ1051" s="133"/>
      <c r="IK1051" s="133"/>
      <c r="IL1051" s="133"/>
      <c r="IM1051" s="133"/>
      <c r="IN1051" s="133"/>
      <c r="IO1051" s="133"/>
      <c r="IP1051" s="133"/>
      <c r="IQ1051" s="133"/>
      <c r="IR1051" s="133"/>
      <c r="IS1051" s="133"/>
      <c r="IT1051" s="133"/>
      <c r="IU1051" s="133"/>
      <c r="IV1051" s="133"/>
    </row>
    <row r="1052" spans="1:256" s="132" customFormat="1" ht="13.8">
      <c r="A1052" s="133"/>
      <c r="B1052" s="133"/>
      <c r="C1052" s="133"/>
      <c r="D1052" s="133"/>
      <c r="E1052" s="133"/>
      <c r="F1052" s="133"/>
      <c r="G1052" s="133"/>
      <c r="H1052" s="133"/>
      <c r="I1052" s="133"/>
      <c r="J1052" s="133"/>
      <c r="K1052" s="133"/>
      <c r="L1052" s="133"/>
      <c r="M1052" s="133"/>
      <c r="N1052" s="133"/>
      <c r="O1052" s="133"/>
      <c r="P1052" s="133"/>
      <c r="GE1052" s="133"/>
      <c r="GF1052" s="133"/>
      <c r="GG1052" s="133"/>
      <c r="GH1052" s="133"/>
      <c r="GI1052" s="133"/>
      <c r="GJ1052" s="133"/>
      <c r="GK1052" s="133"/>
      <c r="GL1052" s="133"/>
      <c r="GM1052" s="133"/>
      <c r="GN1052" s="133"/>
      <c r="GO1052" s="133"/>
      <c r="GP1052" s="133"/>
      <c r="GQ1052" s="133"/>
      <c r="GR1052" s="133"/>
      <c r="GS1052" s="133"/>
      <c r="GT1052" s="133"/>
      <c r="GU1052" s="133"/>
      <c r="GV1052" s="133"/>
      <c r="GW1052" s="133"/>
      <c r="GX1052" s="133"/>
      <c r="GY1052" s="133"/>
      <c r="GZ1052" s="133"/>
      <c r="HA1052" s="133"/>
      <c r="HB1052" s="133"/>
      <c r="HC1052" s="133"/>
      <c r="HD1052" s="133"/>
      <c r="HE1052" s="133"/>
      <c r="HF1052" s="133"/>
      <c r="HG1052" s="133"/>
      <c r="HH1052" s="133"/>
      <c r="HI1052" s="133"/>
      <c r="HJ1052" s="133"/>
      <c r="HK1052" s="133"/>
      <c r="HL1052" s="133"/>
      <c r="HM1052" s="133"/>
      <c r="HN1052" s="133"/>
      <c r="HO1052" s="133"/>
      <c r="HP1052" s="133"/>
      <c r="HQ1052" s="133"/>
      <c r="HR1052" s="133"/>
      <c r="HS1052" s="133"/>
      <c r="HT1052" s="133"/>
      <c r="HU1052" s="133"/>
      <c r="HV1052" s="133"/>
      <c r="HW1052" s="133"/>
      <c r="HX1052" s="133"/>
      <c r="HY1052" s="133"/>
      <c r="HZ1052" s="133"/>
      <c r="IA1052" s="133"/>
      <c r="IB1052" s="133"/>
      <c r="IC1052" s="133"/>
      <c r="ID1052" s="133"/>
      <c r="IE1052" s="133"/>
      <c r="IF1052" s="133"/>
      <c r="IG1052" s="133"/>
      <c r="IH1052" s="133"/>
      <c r="II1052" s="133"/>
      <c r="IJ1052" s="133"/>
      <c r="IK1052" s="133"/>
      <c r="IL1052" s="133"/>
      <c r="IM1052" s="133"/>
      <c r="IN1052" s="133"/>
      <c r="IO1052" s="133"/>
      <c r="IP1052" s="133"/>
      <c r="IQ1052" s="133"/>
      <c r="IR1052" s="133"/>
      <c r="IS1052" s="133"/>
      <c r="IT1052" s="133"/>
      <c r="IU1052" s="133"/>
      <c r="IV1052" s="133"/>
    </row>
    <row r="1053" spans="1:256" s="132" customFormat="1" ht="13.8">
      <c r="A1053" s="133"/>
      <c r="B1053" s="133"/>
      <c r="C1053" s="133"/>
      <c r="D1053" s="133"/>
      <c r="E1053" s="133"/>
      <c r="F1053" s="133"/>
      <c r="G1053" s="133"/>
      <c r="H1053" s="133"/>
      <c r="I1053" s="133"/>
      <c r="J1053" s="133"/>
      <c r="K1053" s="133"/>
      <c r="L1053" s="133"/>
      <c r="M1053" s="133"/>
      <c r="N1053" s="133"/>
      <c r="O1053" s="133"/>
      <c r="P1053" s="133"/>
      <c r="GE1053" s="133"/>
      <c r="GF1053" s="133"/>
      <c r="GG1053" s="133"/>
      <c r="GH1053" s="133"/>
      <c r="GI1053" s="133"/>
      <c r="GJ1053" s="133"/>
      <c r="GK1053" s="133"/>
      <c r="GL1053" s="133"/>
      <c r="GM1053" s="133"/>
      <c r="GN1053" s="133"/>
      <c r="GO1053" s="133"/>
      <c r="GP1053" s="133"/>
      <c r="GQ1053" s="133"/>
      <c r="GR1053" s="133"/>
      <c r="GS1053" s="133"/>
      <c r="GT1053" s="133"/>
      <c r="GU1053" s="133"/>
      <c r="GV1053" s="133"/>
      <c r="GW1053" s="133"/>
      <c r="GX1053" s="133"/>
      <c r="GY1053" s="133"/>
      <c r="GZ1053" s="133"/>
      <c r="HA1053" s="133"/>
      <c r="HB1053" s="133"/>
      <c r="HC1053" s="133"/>
      <c r="HD1053" s="133"/>
      <c r="HE1053" s="133"/>
      <c r="HF1053" s="133"/>
      <c r="HG1053" s="133"/>
      <c r="HH1053" s="133"/>
      <c r="HI1053" s="133"/>
      <c r="HJ1053" s="133"/>
      <c r="HK1053" s="133"/>
      <c r="HL1053" s="133"/>
      <c r="HM1053" s="133"/>
      <c r="HN1053" s="133"/>
      <c r="HO1053" s="133"/>
      <c r="HP1053" s="133"/>
      <c r="HQ1053" s="133"/>
      <c r="HR1053" s="133"/>
      <c r="HS1053" s="133"/>
      <c r="HT1053" s="133"/>
      <c r="HU1053" s="133"/>
      <c r="HV1053" s="133"/>
      <c r="HW1053" s="133"/>
      <c r="HX1053" s="133"/>
      <c r="HY1053" s="133"/>
      <c r="HZ1053" s="133"/>
      <c r="IA1053" s="133"/>
      <c r="IB1053" s="133"/>
      <c r="IC1053" s="133"/>
      <c r="ID1053" s="133"/>
      <c r="IE1053" s="133"/>
      <c r="IF1053" s="133"/>
      <c r="IG1053" s="133"/>
      <c r="IH1053" s="133"/>
      <c r="II1053" s="133"/>
      <c r="IJ1053" s="133"/>
      <c r="IK1053" s="133"/>
      <c r="IL1053" s="133"/>
      <c r="IM1053" s="133"/>
      <c r="IN1053" s="133"/>
      <c r="IO1053" s="133"/>
      <c r="IP1053" s="133"/>
      <c r="IQ1053" s="133"/>
      <c r="IR1053" s="133"/>
      <c r="IS1053" s="133"/>
      <c r="IT1053" s="133"/>
      <c r="IU1053" s="133"/>
      <c r="IV1053" s="133"/>
    </row>
    <row r="1054" spans="1:256" s="132" customFormat="1" ht="13.8">
      <c r="A1054" s="133"/>
      <c r="B1054" s="133"/>
      <c r="C1054" s="133"/>
      <c r="D1054" s="133"/>
      <c r="E1054" s="133"/>
      <c r="F1054" s="133"/>
      <c r="G1054" s="133"/>
      <c r="H1054" s="133"/>
      <c r="I1054" s="133"/>
      <c r="J1054" s="133"/>
      <c r="K1054" s="133"/>
      <c r="L1054" s="133"/>
      <c r="M1054" s="133"/>
      <c r="N1054" s="133"/>
      <c r="O1054" s="133"/>
      <c r="P1054" s="133"/>
      <c r="GE1054" s="133"/>
      <c r="GF1054" s="133"/>
      <c r="GG1054" s="133"/>
      <c r="GH1054" s="133"/>
      <c r="GI1054" s="133"/>
      <c r="GJ1054" s="133"/>
      <c r="GK1054" s="133"/>
      <c r="GL1054" s="133"/>
      <c r="GM1054" s="133"/>
      <c r="GN1054" s="133"/>
      <c r="GO1054" s="133"/>
      <c r="GP1054" s="133"/>
      <c r="GQ1054" s="133"/>
      <c r="GR1054" s="133"/>
      <c r="GS1054" s="133"/>
      <c r="GT1054" s="133"/>
      <c r="GU1054" s="133"/>
      <c r="GV1054" s="133"/>
      <c r="GW1054" s="133"/>
      <c r="GX1054" s="133"/>
      <c r="GY1054" s="133"/>
      <c r="GZ1054" s="133"/>
      <c r="HA1054" s="133"/>
      <c r="HB1054" s="133"/>
      <c r="HC1054" s="133"/>
      <c r="HD1054" s="133"/>
      <c r="HE1054" s="133"/>
      <c r="HF1054" s="133"/>
      <c r="HG1054" s="133"/>
      <c r="HH1054" s="133"/>
      <c r="HI1054" s="133"/>
      <c r="HJ1054" s="133"/>
      <c r="HK1054" s="133"/>
      <c r="HL1054" s="133"/>
      <c r="HM1054" s="133"/>
      <c r="HN1054" s="133"/>
      <c r="HO1054" s="133"/>
      <c r="HP1054" s="133"/>
      <c r="HQ1054" s="133"/>
      <c r="HR1054" s="133"/>
      <c r="HS1054" s="133"/>
      <c r="HT1054" s="133"/>
      <c r="HU1054" s="133"/>
      <c r="HV1054" s="133"/>
      <c r="HW1054" s="133"/>
      <c r="HX1054" s="133"/>
      <c r="HY1054" s="133"/>
      <c r="HZ1054" s="133"/>
      <c r="IA1054" s="133"/>
      <c r="IB1054" s="133"/>
      <c r="IC1054" s="133"/>
      <c r="ID1054" s="133"/>
      <c r="IE1054" s="133"/>
      <c r="IF1054" s="133"/>
      <c r="IG1054" s="133"/>
      <c r="IH1054" s="133"/>
      <c r="II1054" s="133"/>
      <c r="IJ1054" s="133"/>
      <c r="IK1054" s="133"/>
      <c r="IL1054" s="133"/>
      <c r="IM1054" s="133"/>
      <c r="IN1054" s="133"/>
      <c r="IO1054" s="133"/>
      <c r="IP1054" s="133"/>
      <c r="IQ1054" s="133"/>
      <c r="IR1054" s="133"/>
      <c r="IS1054" s="133"/>
      <c r="IT1054" s="133"/>
      <c r="IU1054" s="133"/>
      <c r="IV1054" s="133"/>
    </row>
    <row r="1055" spans="1:256" s="132" customFormat="1" ht="13.8">
      <c r="A1055" s="133"/>
      <c r="B1055" s="133"/>
      <c r="C1055" s="133"/>
      <c r="D1055" s="133"/>
      <c r="E1055" s="133"/>
      <c r="F1055" s="133"/>
      <c r="G1055" s="133"/>
      <c r="H1055" s="133"/>
      <c r="I1055" s="133"/>
      <c r="J1055" s="133"/>
      <c r="K1055" s="133"/>
      <c r="L1055" s="133"/>
      <c r="M1055" s="133"/>
      <c r="N1055" s="133"/>
      <c r="O1055" s="133"/>
      <c r="P1055" s="133"/>
      <c r="GE1055" s="133"/>
      <c r="GF1055" s="133"/>
      <c r="GG1055" s="133"/>
      <c r="GH1055" s="133"/>
      <c r="GI1055" s="133"/>
      <c r="GJ1055" s="133"/>
      <c r="GK1055" s="133"/>
      <c r="GL1055" s="133"/>
      <c r="GM1055" s="133"/>
      <c r="GN1055" s="133"/>
      <c r="GO1055" s="133"/>
      <c r="GP1055" s="133"/>
      <c r="GQ1055" s="133"/>
      <c r="GR1055" s="133"/>
      <c r="GS1055" s="133"/>
      <c r="GT1055" s="133"/>
      <c r="GU1055" s="133"/>
      <c r="GV1055" s="133"/>
      <c r="GW1055" s="133"/>
      <c r="GX1055" s="133"/>
      <c r="GY1055" s="133"/>
      <c r="GZ1055" s="133"/>
      <c r="HA1055" s="133"/>
      <c r="HB1055" s="133"/>
      <c r="HC1055" s="133"/>
      <c r="HD1055" s="133"/>
      <c r="HE1055" s="133"/>
      <c r="HF1055" s="133"/>
      <c r="HG1055" s="133"/>
      <c r="HH1055" s="133"/>
      <c r="HI1055" s="133"/>
      <c r="HJ1055" s="133"/>
      <c r="HK1055" s="133"/>
      <c r="HL1055" s="133"/>
      <c r="HM1055" s="133"/>
      <c r="HN1055" s="133"/>
      <c r="HO1055" s="133"/>
      <c r="HP1055" s="133"/>
      <c r="HQ1055" s="133"/>
      <c r="HR1055" s="133"/>
      <c r="HS1055" s="133"/>
      <c r="HT1055" s="133"/>
      <c r="HU1055" s="133"/>
      <c r="HV1055" s="133"/>
      <c r="HW1055" s="133"/>
      <c r="HX1055" s="133"/>
      <c r="HY1055" s="133"/>
      <c r="HZ1055" s="133"/>
      <c r="IA1055" s="133"/>
      <c r="IB1055" s="133"/>
      <c r="IC1055" s="133"/>
      <c r="ID1055" s="133"/>
      <c r="IE1055" s="133"/>
      <c r="IF1055" s="133"/>
      <c r="IG1055" s="133"/>
      <c r="IH1055" s="133"/>
      <c r="II1055" s="133"/>
      <c r="IJ1055" s="133"/>
      <c r="IK1055" s="133"/>
      <c r="IL1055" s="133"/>
      <c r="IM1055" s="133"/>
      <c r="IN1055" s="133"/>
      <c r="IO1055" s="133"/>
      <c r="IP1055" s="133"/>
      <c r="IQ1055" s="133"/>
      <c r="IR1055" s="133"/>
      <c r="IS1055" s="133"/>
      <c r="IT1055" s="133"/>
      <c r="IU1055" s="133"/>
      <c r="IV1055" s="133"/>
    </row>
    <row r="1056" spans="1:256" s="132" customFormat="1" ht="13.8">
      <c r="A1056" s="133"/>
      <c r="B1056" s="133"/>
      <c r="C1056" s="133"/>
      <c r="D1056" s="133"/>
      <c r="E1056" s="133"/>
      <c r="F1056" s="133"/>
      <c r="G1056" s="133"/>
      <c r="H1056" s="133"/>
      <c r="I1056" s="133"/>
      <c r="J1056" s="133"/>
      <c r="K1056" s="133"/>
      <c r="L1056" s="133"/>
      <c r="M1056" s="133"/>
      <c r="N1056" s="133"/>
      <c r="O1056" s="133"/>
      <c r="P1056" s="133"/>
      <c r="GE1056" s="133"/>
      <c r="GF1056" s="133"/>
      <c r="GG1056" s="133"/>
      <c r="GH1056" s="133"/>
      <c r="GI1056" s="133"/>
      <c r="GJ1056" s="133"/>
      <c r="GK1056" s="133"/>
      <c r="GL1056" s="133"/>
      <c r="GM1056" s="133"/>
      <c r="GN1056" s="133"/>
      <c r="GO1056" s="133"/>
      <c r="GP1056" s="133"/>
      <c r="GQ1056" s="133"/>
      <c r="GR1056" s="133"/>
      <c r="GS1056" s="133"/>
      <c r="GT1056" s="133"/>
      <c r="GU1056" s="133"/>
      <c r="GV1056" s="133"/>
      <c r="GW1056" s="133"/>
      <c r="GX1056" s="133"/>
      <c r="GY1056" s="133"/>
      <c r="GZ1056" s="133"/>
      <c r="HA1056" s="133"/>
      <c r="HB1056" s="133"/>
      <c r="HC1056" s="133"/>
      <c r="HD1056" s="133"/>
      <c r="HE1056" s="133"/>
      <c r="HF1056" s="133"/>
      <c r="HG1056" s="133"/>
      <c r="HH1056" s="133"/>
      <c r="HI1056" s="133"/>
      <c r="HJ1056" s="133"/>
      <c r="HK1056" s="133"/>
      <c r="HL1056" s="133"/>
      <c r="HM1056" s="133"/>
      <c r="HN1056" s="133"/>
      <c r="HO1056" s="133"/>
      <c r="HP1056" s="133"/>
      <c r="HQ1056" s="133"/>
      <c r="HR1056" s="133"/>
      <c r="HS1056" s="133"/>
      <c r="HT1056" s="133"/>
      <c r="HU1056" s="133"/>
      <c r="HV1056" s="133"/>
      <c r="HW1056" s="133"/>
      <c r="HX1056" s="133"/>
      <c r="HY1056" s="133"/>
      <c r="HZ1056" s="133"/>
      <c r="IA1056" s="133"/>
      <c r="IB1056" s="133"/>
      <c r="IC1056" s="133"/>
      <c r="ID1056" s="133"/>
      <c r="IE1056" s="133"/>
      <c r="IF1056" s="133"/>
      <c r="IG1056" s="133"/>
      <c r="IH1056" s="133"/>
      <c r="II1056" s="133"/>
      <c r="IJ1056" s="133"/>
      <c r="IK1056" s="133"/>
      <c r="IL1056" s="133"/>
      <c r="IM1056" s="133"/>
      <c r="IN1056" s="133"/>
      <c r="IO1056" s="133"/>
      <c r="IP1056" s="133"/>
      <c r="IQ1056" s="133"/>
      <c r="IR1056" s="133"/>
      <c r="IS1056" s="133"/>
      <c r="IT1056" s="133"/>
      <c r="IU1056" s="133"/>
      <c r="IV1056" s="133"/>
    </row>
    <row r="1057" spans="1:256" s="132" customFormat="1" ht="13.8">
      <c r="A1057" s="133"/>
      <c r="B1057" s="133"/>
      <c r="C1057" s="133"/>
      <c r="D1057" s="133"/>
      <c r="E1057" s="133"/>
      <c r="F1057" s="133"/>
      <c r="G1057" s="133"/>
      <c r="H1057" s="133"/>
      <c r="I1057" s="133"/>
      <c r="J1057" s="133"/>
      <c r="K1057" s="133"/>
      <c r="L1057" s="133"/>
      <c r="M1057" s="133"/>
      <c r="N1057" s="133"/>
      <c r="O1057" s="133"/>
      <c r="P1057" s="133"/>
      <c r="GE1057" s="133"/>
      <c r="GF1057" s="133"/>
      <c r="GG1057" s="133"/>
      <c r="GH1057" s="133"/>
      <c r="GI1057" s="133"/>
      <c r="GJ1057" s="133"/>
      <c r="GK1057" s="133"/>
      <c r="GL1057" s="133"/>
      <c r="GM1057" s="133"/>
      <c r="GN1057" s="133"/>
      <c r="GO1057" s="133"/>
      <c r="GP1057" s="133"/>
      <c r="GQ1057" s="133"/>
      <c r="GR1057" s="133"/>
      <c r="GS1057" s="133"/>
      <c r="GT1057" s="133"/>
      <c r="GU1057" s="133"/>
      <c r="GV1057" s="133"/>
      <c r="GW1057" s="133"/>
      <c r="GX1057" s="133"/>
      <c r="GY1057" s="133"/>
      <c r="GZ1057" s="133"/>
      <c r="HA1057" s="133"/>
      <c r="HB1057" s="133"/>
      <c r="HC1057" s="133"/>
      <c r="HD1057" s="133"/>
      <c r="HE1057" s="133"/>
      <c r="HF1057" s="133"/>
      <c r="HG1057" s="133"/>
      <c r="HH1057" s="133"/>
      <c r="HI1057" s="133"/>
      <c r="HJ1057" s="133"/>
      <c r="HK1057" s="133"/>
      <c r="HL1057" s="133"/>
      <c r="HM1057" s="133"/>
      <c r="HN1057" s="133"/>
      <c r="HO1057" s="133"/>
      <c r="HP1057" s="133"/>
      <c r="HQ1057" s="133"/>
      <c r="HR1057" s="133"/>
      <c r="HS1057" s="133"/>
      <c r="HT1057" s="133"/>
      <c r="HU1057" s="133"/>
      <c r="HV1057" s="133"/>
      <c r="HW1057" s="133"/>
      <c r="HX1057" s="133"/>
      <c r="HY1057" s="133"/>
      <c r="HZ1057" s="133"/>
      <c r="IA1057" s="133"/>
      <c r="IB1057" s="133"/>
      <c r="IC1057" s="133"/>
      <c r="ID1057" s="133"/>
      <c r="IE1057" s="133"/>
      <c r="IF1057" s="133"/>
      <c r="IG1057" s="133"/>
      <c r="IH1057" s="133"/>
      <c r="II1057" s="133"/>
      <c r="IJ1057" s="133"/>
      <c r="IK1057" s="133"/>
      <c r="IL1057" s="133"/>
      <c r="IM1057" s="133"/>
      <c r="IN1057" s="133"/>
      <c r="IO1057" s="133"/>
      <c r="IP1057" s="133"/>
      <c r="IQ1057" s="133"/>
      <c r="IR1057" s="133"/>
      <c r="IS1057" s="133"/>
      <c r="IT1057" s="133"/>
      <c r="IU1057" s="133"/>
      <c r="IV1057" s="133"/>
    </row>
    <row r="1058" spans="1:256" s="132" customFormat="1" ht="13.8">
      <c r="A1058" s="133"/>
      <c r="B1058" s="133"/>
      <c r="C1058" s="133"/>
      <c r="D1058" s="133"/>
      <c r="E1058" s="133"/>
      <c r="F1058" s="133"/>
      <c r="G1058" s="133"/>
      <c r="H1058" s="133"/>
      <c r="I1058" s="133"/>
      <c r="J1058" s="133"/>
      <c r="K1058" s="133"/>
      <c r="L1058" s="133"/>
      <c r="M1058" s="133"/>
      <c r="N1058" s="133"/>
      <c r="O1058" s="133"/>
      <c r="P1058" s="133"/>
      <c r="GE1058" s="133"/>
      <c r="GF1058" s="133"/>
      <c r="GG1058" s="133"/>
      <c r="GH1058" s="133"/>
      <c r="GI1058" s="133"/>
      <c r="GJ1058" s="133"/>
      <c r="GK1058" s="133"/>
      <c r="GL1058" s="133"/>
      <c r="GM1058" s="133"/>
      <c r="GN1058" s="133"/>
      <c r="GO1058" s="133"/>
      <c r="GP1058" s="133"/>
      <c r="GQ1058" s="133"/>
      <c r="GR1058" s="133"/>
      <c r="GS1058" s="133"/>
      <c r="GT1058" s="133"/>
      <c r="GU1058" s="133"/>
      <c r="GV1058" s="133"/>
      <c r="GW1058" s="133"/>
      <c r="GX1058" s="133"/>
      <c r="GY1058" s="133"/>
      <c r="GZ1058" s="133"/>
      <c r="HA1058" s="133"/>
      <c r="HB1058" s="133"/>
      <c r="HC1058" s="133"/>
      <c r="HD1058" s="133"/>
      <c r="HE1058" s="133"/>
      <c r="HF1058" s="133"/>
      <c r="HG1058" s="133"/>
      <c r="HH1058" s="133"/>
      <c r="HI1058" s="133"/>
      <c r="HJ1058" s="133"/>
      <c r="HK1058" s="133"/>
      <c r="HL1058" s="133"/>
      <c r="HM1058" s="133"/>
      <c r="HN1058" s="133"/>
      <c r="HO1058" s="133"/>
      <c r="HP1058" s="133"/>
      <c r="HQ1058" s="133"/>
      <c r="HR1058" s="133"/>
      <c r="HS1058" s="133"/>
      <c r="HT1058" s="133"/>
      <c r="HU1058" s="133"/>
      <c r="HV1058" s="133"/>
      <c r="HW1058" s="133"/>
      <c r="HX1058" s="133"/>
      <c r="HY1058" s="133"/>
      <c r="HZ1058" s="133"/>
      <c r="IA1058" s="133"/>
      <c r="IB1058" s="133"/>
      <c r="IC1058" s="133"/>
      <c r="ID1058" s="133"/>
      <c r="IE1058" s="133"/>
      <c r="IF1058" s="133"/>
      <c r="IG1058" s="133"/>
      <c r="IH1058" s="133"/>
      <c r="II1058" s="133"/>
      <c r="IJ1058" s="133"/>
      <c r="IK1058" s="133"/>
      <c r="IL1058" s="133"/>
      <c r="IM1058" s="133"/>
      <c r="IN1058" s="133"/>
      <c r="IO1058" s="133"/>
      <c r="IP1058" s="133"/>
      <c r="IQ1058" s="133"/>
      <c r="IR1058" s="133"/>
      <c r="IS1058" s="133"/>
      <c r="IT1058" s="133"/>
      <c r="IU1058" s="133"/>
      <c r="IV1058" s="133"/>
    </row>
    <row r="1059" spans="1:256" s="132" customFormat="1" ht="13.8">
      <c r="A1059" s="133"/>
      <c r="B1059" s="133"/>
      <c r="C1059" s="133"/>
      <c r="D1059" s="133"/>
      <c r="E1059" s="133"/>
      <c r="F1059" s="133"/>
      <c r="G1059" s="133"/>
      <c r="H1059" s="133"/>
      <c r="I1059" s="133"/>
      <c r="J1059" s="133"/>
      <c r="K1059" s="133"/>
      <c r="L1059" s="133"/>
      <c r="M1059" s="133"/>
      <c r="N1059" s="133"/>
      <c r="O1059" s="133"/>
      <c r="P1059" s="133"/>
      <c r="GE1059" s="133"/>
      <c r="GF1059" s="133"/>
      <c r="GG1059" s="133"/>
      <c r="GH1059" s="133"/>
      <c r="GI1059" s="133"/>
      <c r="GJ1059" s="133"/>
      <c r="GK1059" s="133"/>
      <c r="GL1059" s="133"/>
      <c r="GM1059" s="133"/>
      <c r="GN1059" s="133"/>
      <c r="GO1059" s="133"/>
      <c r="GP1059" s="133"/>
      <c r="GQ1059" s="133"/>
      <c r="GR1059" s="133"/>
      <c r="GS1059" s="133"/>
      <c r="GT1059" s="133"/>
      <c r="GU1059" s="133"/>
      <c r="GV1059" s="133"/>
      <c r="GW1059" s="133"/>
      <c r="GX1059" s="133"/>
      <c r="GY1059" s="133"/>
      <c r="GZ1059" s="133"/>
      <c r="HA1059" s="133"/>
      <c r="HB1059" s="133"/>
      <c r="HC1059" s="133"/>
      <c r="HD1059" s="133"/>
      <c r="HE1059" s="133"/>
      <c r="HF1059" s="133"/>
      <c r="HG1059" s="133"/>
      <c r="HH1059" s="133"/>
      <c r="HI1059" s="133"/>
      <c r="HJ1059" s="133"/>
      <c r="HK1059" s="133"/>
      <c r="HL1059" s="133"/>
      <c r="HM1059" s="133"/>
      <c r="HN1059" s="133"/>
      <c r="HO1059" s="133"/>
      <c r="HP1059" s="133"/>
      <c r="HQ1059" s="133"/>
      <c r="HR1059" s="133"/>
      <c r="HS1059" s="133"/>
      <c r="HT1059" s="133"/>
      <c r="HU1059" s="133"/>
      <c r="HV1059" s="133"/>
      <c r="HW1059" s="133"/>
      <c r="HX1059" s="133"/>
      <c r="HY1059" s="133"/>
      <c r="HZ1059" s="133"/>
      <c r="IA1059" s="133"/>
      <c r="IB1059" s="133"/>
      <c r="IC1059" s="133"/>
      <c r="ID1059" s="133"/>
      <c r="IE1059" s="133"/>
      <c r="IF1059" s="133"/>
      <c r="IG1059" s="133"/>
      <c r="IH1059" s="133"/>
      <c r="II1059" s="133"/>
      <c r="IJ1059" s="133"/>
      <c r="IK1059" s="133"/>
      <c r="IL1059" s="133"/>
      <c r="IM1059" s="133"/>
      <c r="IN1059" s="133"/>
      <c r="IO1059" s="133"/>
      <c r="IP1059" s="133"/>
      <c r="IQ1059" s="133"/>
      <c r="IR1059" s="133"/>
      <c r="IS1059" s="133"/>
      <c r="IT1059" s="133"/>
      <c r="IU1059" s="133"/>
      <c r="IV1059" s="133"/>
    </row>
    <row r="1060" spans="1:256" s="132" customFormat="1" ht="13.8">
      <c r="A1060" s="133"/>
      <c r="B1060" s="133"/>
      <c r="C1060" s="133"/>
      <c r="D1060" s="133"/>
      <c r="E1060" s="133"/>
      <c r="F1060" s="133"/>
      <c r="G1060" s="133"/>
      <c r="H1060" s="133"/>
      <c r="I1060" s="133"/>
      <c r="J1060" s="133"/>
      <c r="K1060" s="133"/>
      <c r="L1060" s="133"/>
      <c r="M1060" s="133"/>
      <c r="N1060" s="133"/>
      <c r="O1060" s="133"/>
      <c r="P1060" s="133"/>
      <c r="GE1060" s="133"/>
      <c r="GF1060" s="133"/>
      <c r="GG1060" s="133"/>
      <c r="GH1060" s="133"/>
      <c r="GI1060" s="133"/>
      <c r="GJ1060" s="133"/>
      <c r="GK1060" s="133"/>
      <c r="GL1060" s="133"/>
      <c r="GM1060" s="133"/>
      <c r="GN1060" s="133"/>
      <c r="GO1060" s="133"/>
      <c r="GP1060" s="133"/>
      <c r="GQ1060" s="133"/>
      <c r="GR1060" s="133"/>
      <c r="GS1060" s="133"/>
      <c r="GT1060" s="133"/>
      <c r="GU1060" s="133"/>
      <c r="GV1060" s="133"/>
      <c r="GW1060" s="133"/>
      <c r="GX1060" s="133"/>
      <c r="GY1060" s="133"/>
      <c r="GZ1060" s="133"/>
      <c r="HA1060" s="133"/>
      <c r="HB1060" s="133"/>
      <c r="HC1060" s="133"/>
      <c r="HD1060" s="133"/>
      <c r="HE1060" s="133"/>
      <c r="HF1060" s="133"/>
      <c r="HG1060" s="133"/>
      <c r="HH1060" s="133"/>
      <c r="HI1060" s="133"/>
      <c r="HJ1060" s="133"/>
      <c r="HK1060" s="133"/>
      <c r="HL1060" s="133"/>
      <c r="HM1060" s="133"/>
      <c r="HN1060" s="133"/>
      <c r="HO1060" s="133"/>
      <c r="HP1060" s="133"/>
      <c r="HQ1060" s="133"/>
      <c r="HR1060" s="133"/>
      <c r="HS1060" s="133"/>
      <c r="HT1060" s="133"/>
      <c r="HU1060" s="133"/>
      <c r="HV1060" s="133"/>
      <c r="HW1060" s="133"/>
      <c r="HX1060" s="133"/>
      <c r="HY1060" s="133"/>
      <c r="HZ1060" s="133"/>
      <c r="IA1060" s="133"/>
      <c r="IB1060" s="133"/>
      <c r="IC1060" s="133"/>
      <c r="ID1060" s="133"/>
      <c r="IE1060" s="133"/>
      <c r="IF1060" s="133"/>
      <c r="IG1060" s="133"/>
      <c r="IH1060" s="133"/>
      <c r="II1060" s="133"/>
      <c r="IJ1060" s="133"/>
      <c r="IK1060" s="133"/>
      <c r="IL1060" s="133"/>
      <c r="IM1060" s="133"/>
      <c r="IN1060" s="133"/>
      <c r="IO1060" s="133"/>
      <c r="IP1060" s="133"/>
      <c r="IQ1060" s="133"/>
      <c r="IR1060" s="133"/>
      <c r="IS1060" s="133"/>
      <c r="IT1060" s="133"/>
      <c r="IU1060" s="133"/>
      <c r="IV1060" s="133"/>
    </row>
    <row r="1061" spans="1:256" s="132" customFormat="1" ht="13.8">
      <c r="A1061" s="133"/>
      <c r="B1061" s="133"/>
      <c r="C1061" s="133"/>
      <c r="D1061" s="133"/>
      <c r="E1061" s="133"/>
      <c r="F1061" s="133"/>
      <c r="G1061" s="133"/>
      <c r="H1061" s="133"/>
      <c r="I1061" s="133"/>
      <c r="J1061" s="133"/>
      <c r="K1061" s="133"/>
      <c r="L1061" s="133"/>
      <c r="M1061" s="133"/>
      <c r="N1061" s="133"/>
      <c r="O1061" s="133"/>
      <c r="P1061" s="133"/>
      <c r="GE1061" s="133"/>
      <c r="GF1061" s="133"/>
      <c r="GG1061" s="133"/>
      <c r="GH1061" s="133"/>
      <c r="GI1061" s="133"/>
      <c r="GJ1061" s="133"/>
      <c r="GK1061" s="133"/>
      <c r="GL1061" s="133"/>
      <c r="GM1061" s="133"/>
      <c r="GN1061" s="133"/>
      <c r="GO1061" s="133"/>
      <c r="GP1061" s="133"/>
      <c r="GQ1061" s="133"/>
      <c r="GR1061" s="133"/>
      <c r="GS1061" s="133"/>
      <c r="GT1061" s="133"/>
      <c r="GU1061" s="133"/>
      <c r="GV1061" s="133"/>
      <c r="GW1061" s="133"/>
      <c r="GX1061" s="133"/>
      <c r="GY1061" s="133"/>
      <c r="GZ1061" s="133"/>
      <c r="HA1061" s="133"/>
      <c r="HB1061" s="133"/>
      <c r="HC1061" s="133"/>
      <c r="HD1061" s="133"/>
      <c r="HE1061" s="133"/>
      <c r="HF1061" s="133"/>
      <c r="HG1061" s="133"/>
      <c r="HH1061" s="133"/>
      <c r="HI1061" s="133"/>
      <c r="HJ1061" s="133"/>
      <c r="HK1061" s="133"/>
      <c r="HL1061" s="133"/>
      <c r="HM1061" s="133"/>
      <c r="HN1061" s="133"/>
      <c r="HO1061" s="133"/>
      <c r="HP1061" s="133"/>
      <c r="HQ1061" s="133"/>
      <c r="HR1061" s="133"/>
      <c r="HS1061" s="133"/>
      <c r="HT1061" s="133"/>
      <c r="HU1061" s="133"/>
      <c r="HV1061" s="133"/>
      <c r="HW1061" s="133"/>
      <c r="HX1061" s="133"/>
      <c r="HY1061" s="133"/>
      <c r="HZ1061" s="133"/>
      <c r="IA1061" s="133"/>
      <c r="IB1061" s="133"/>
      <c r="IC1061" s="133"/>
      <c r="ID1061" s="133"/>
      <c r="IE1061" s="133"/>
      <c r="IF1061" s="133"/>
      <c r="IG1061" s="133"/>
      <c r="IH1061" s="133"/>
      <c r="II1061" s="133"/>
      <c r="IJ1061" s="133"/>
      <c r="IK1061" s="133"/>
      <c r="IL1061" s="133"/>
      <c r="IM1061" s="133"/>
      <c r="IN1061" s="133"/>
      <c r="IO1061" s="133"/>
      <c r="IP1061" s="133"/>
      <c r="IQ1061" s="133"/>
      <c r="IR1061" s="133"/>
      <c r="IS1061" s="133"/>
      <c r="IT1061" s="133"/>
      <c r="IU1061" s="133"/>
      <c r="IV1061" s="133"/>
    </row>
    <row r="1062" spans="1:256" s="132" customFormat="1" ht="13.8">
      <c r="A1062" s="133"/>
      <c r="B1062" s="133"/>
      <c r="C1062" s="133"/>
      <c r="D1062" s="133"/>
      <c r="E1062" s="133"/>
      <c r="F1062" s="133"/>
      <c r="G1062" s="133"/>
      <c r="H1062" s="133"/>
      <c r="I1062" s="133"/>
      <c r="J1062" s="133"/>
      <c r="K1062" s="133"/>
      <c r="L1062" s="133"/>
      <c r="M1062" s="133"/>
      <c r="N1062" s="133"/>
      <c r="O1062" s="133"/>
      <c r="P1062" s="133"/>
      <c r="GE1062" s="133"/>
      <c r="GF1062" s="133"/>
      <c r="GG1062" s="133"/>
      <c r="GH1062" s="133"/>
      <c r="GI1062" s="133"/>
      <c r="GJ1062" s="133"/>
      <c r="GK1062" s="133"/>
      <c r="GL1062" s="133"/>
      <c r="GM1062" s="133"/>
      <c r="GN1062" s="133"/>
      <c r="GO1062" s="133"/>
      <c r="GP1062" s="133"/>
      <c r="GQ1062" s="133"/>
      <c r="GR1062" s="133"/>
      <c r="GS1062" s="133"/>
      <c r="GT1062" s="133"/>
      <c r="GU1062" s="133"/>
      <c r="GV1062" s="133"/>
      <c r="GW1062" s="133"/>
      <c r="GX1062" s="133"/>
      <c r="GY1062" s="133"/>
      <c r="GZ1062" s="133"/>
      <c r="HA1062" s="133"/>
      <c r="HB1062" s="133"/>
      <c r="HC1062" s="133"/>
      <c r="HD1062" s="133"/>
      <c r="HE1062" s="133"/>
      <c r="HF1062" s="133"/>
      <c r="HG1062" s="133"/>
      <c r="HH1062" s="133"/>
      <c r="HI1062" s="133"/>
      <c r="HJ1062" s="133"/>
      <c r="HK1062" s="133"/>
      <c r="HL1062" s="133"/>
      <c r="HM1062" s="133"/>
      <c r="HN1062" s="133"/>
      <c r="HO1062" s="133"/>
      <c r="HP1062" s="133"/>
      <c r="HQ1062" s="133"/>
      <c r="HR1062" s="133"/>
      <c r="HS1062" s="133"/>
      <c r="HT1062" s="133"/>
      <c r="HU1062" s="133"/>
      <c r="HV1062" s="133"/>
      <c r="HW1062" s="133"/>
      <c r="HX1062" s="133"/>
      <c r="HY1062" s="133"/>
      <c r="HZ1062" s="133"/>
      <c r="IA1062" s="133"/>
      <c r="IB1062" s="133"/>
      <c r="IC1062" s="133"/>
      <c r="ID1062" s="133"/>
      <c r="IE1062" s="133"/>
      <c r="IF1062" s="133"/>
      <c r="IG1062" s="133"/>
      <c r="IH1062" s="133"/>
      <c r="II1062" s="133"/>
      <c r="IJ1062" s="133"/>
      <c r="IK1062" s="133"/>
      <c r="IL1062" s="133"/>
      <c r="IM1062" s="133"/>
      <c r="IN1062" s="133"/>
      <c r="IO1062" s="133"/>
      <c r="IP1062" s="133"/>
      <c r="IQ1062" s="133"/>
      <c r="IR1062" s="133"/>
      <c r="IS1062" s="133"/>
      <c r="IT1062" s="133"/>
      <c r="IU1062" s="133"/>
      <c r="IV1062" s="133"/>
    </row>
    <row r="1063" spans="1:256" s="132" customFormat="1" ht="13.8">
      <c r="A1063" s="133"/>
      <c r="B1063" s="133"/>
      <c r="C1063" s="133"/>
      <c r="D1063" s="133"/>
      <c r="E1063" s="133"/>
      <c r="F1063" s="133"/>
      <c r="G1063" s="133"/>
      <c r="H1063" s="133"/>
      <c r="I1063" s="133"/>
      <c r="J1063" s="133"/>
      <c r="K1063" s="133"/>
      <c r="L1063" s="133"/>
      <c r="M1063" s="133"/>
      <c r="N1063" s="133"/>
      <c r="O1063" s="133"/>
      <c r="P1063" s="133"/>
      <c r="GE1063" s="133"/>
      <c r="GF1063" s="133"/>
      <c r="GG1063" s="133"/>
      <c r="GH1063" s="133"/>
      <c r="GI1063" s="133"/>
      <c r="GJ1063" s="133"/>
      <c r="GK1063" s="133"/>
      <c r="GL1063" s="133"/>
      <c r="GM1063" s="133"/>
      <c r="GN1063" s="133"/>
      <c r="GO1063" s="133"/>
      <c r="GP1063" s="133"/>
      <c r="GQ1063" s="133"/>
      <c r="GR1063" s="133"/>
      <c r="GS1063" s="133"/>
      <c r="GT1063" s="133"/>
      <c r="GU1063" s="133"/>
      <c r="GV1063" s="133"/>
      <c r="GW1063" s="133"/>
      <c r="GX1063" s="133"/>
      <c r="GY1063" s="133"/>
      <c r="GZ1063" s="133"/>
      <c r="HA1063" s="133"/>
      <c r="HB1063" s="133"/>
      <c r="HC1063" s="133"/>
      <c r="HD1063" s="133"/>
      <c r="HE1063" s="133"/>
      <c r="HF1063" s="133"/>
      <c r="HG1063" s="133"/>
      <c r="HH1063" s="133"/>
      <c r="HI1063" s="133"/>
      <c r="HJ1063" s="133"/>
      <c r="HK1063" s="133"/>
      <c r="HL1063" s="133"/>
      <c r="HM1063" s="133"/>
      <c r="HN1063" s="133"/>
      <c r="HO1063" s="133"/>
      <c r="HP1063" s="133"/>
      <c r="HQ1063" s="133"/>
      <c r="HR1063" s="133"/>
      <c r="HS1063" s="133"/>
      <c r="HT1063" s="133"/>
      <c r="HU1063" s="133"/>
      <c r="HV1063" s="133"/>
      <c r="HW1063" s="133"/>
      <c r="HX1063" s="133"/>
      <c r="HY1063" s="133"/>
      <c r="HZ1063" s="133"/>
      <c r="IA1063" s="133"/>
      <c r="IB1063" s="133"/>
      <c r="IC1063" s="133"/>
      <c r="ID1063" s="133"/>
      <c r="IE1063" s="133"/>
      <c r="IF1063" s="133"/>
      <c r="IG1063" s="133"/>
      <c r="IH1063" s="133"/>
      <c r="II1063" s="133"/>
      <c r="IJ1063" s="133"/>
      <c r="IK1063" s="133"/>
      <c r="IL1063" s="133"/>
      <c r="IM1063" s="133"/>
      <c r="IN1063" s="133"/>
      <c r="IO1063" s="133"/>
      <c r="IP1063" s="133"/>
      <c r="IQ1063" s="133"/>
      <c r="IR1063" s="133"/>
      <c r="IS1063" s="133"/>
      <c r="IT1063" s="133"/>
      <c r="IU1063" s="133"/>
      <c r="IV1063" s="133"/>
    </row>
    <row r="1064" spans="1:256" s="132" customFormat="1" ht="13.8">
      <c r="A1064" s="133"/>
      <c r="B1064" s="133"/>
      <c r="C1064" s="133"/>
      <c r="D1064" s="133"/>
      <c r="E1064" s="133"/>
      <c r="F1064" s="133"/>
      <c r="G1064" s="133"/>
      <c r="H1064" s="133"/>
      <c r="I1064" s="133"/>
      <c r="J1064" s="133"/>
      <c r="K1064" s="133"/>
      <c r="L1064" s="133"/>
      <c r="M1064" s="133"/>
      <c r="N1064" s="133"/>
      <c r="O1064" s="133"/>
      <c r="P1064" s="133"/>
      <c r="GE1064" s="133"/>
      <c r="GF1064" s="133"/>
      <c r="GG1064" s="133"/>
      <c r="GH1064" s="133"/>
      <c r="GI1064" s="133"/>
      <c r="GJ1064" s="133"/>
      <c r="GK1064" s="133"/>
      <c r="GL1064" s="133"/>
      <c r="GM1064" s="133"/>
      <c r="GN1064" s="133"/>
      <c r="GO1064" s="133"/>
      <c r="GP1064" s="133"/>
      <c r="GQ1064" s="133"/>
      <c r="GR1064" s="133"/>
      <c r="GS1064" s="133"/>
      <c r="GT1064" s="133"/>
      <c r="GU1064" s="133"/>
      <c r="GV1064" s="133"/>
      <c r="GW1064" s="133"/>
      <c r="GX1064" s="133"/>
      <c r="GY1064" s="133"/>
      <c r="GZ1064" s="133"/>
      <c r="HA1064" s="133"/>
      <c r="HB1064" s="133"/>
      <c r="HC1064" s="133"/>
      <c r="HD1064" s="133"/>
      <c r="HE1064" s="133"/>
      <c r="HF1064" s="133"/>
      <c r="HG1064" s="133"/>
      <c r="HH1064" s="133"/>
      <c r="HI1064" s="133"/>
      <c r="HJ1064" s="133"/>
      <c r="HK1064" s="133"/>
      <c r="HL1064" s="133"/>
      <c r="HM1064" s="133"/>
      <c r="HN1064" s="133"/>
      <c r="HO1064" s="133"/>
      <c r="HP1064" s="133"/>
      <c r="HQ1064" s="133"/>
      <c r="HR1064" s="133"/>
      <c r="HS1064" s="133"/>
      <c r="HT1064" s="133"/>
      <c r="HU1064" s="133"/>
      <c r="HV1064" s="133"/>
      <c r="HW1064" s="133"/>
      <c r="HX1064" s="133"/>
      <c r="HY1064" s="133"/>
      <c r="HZ1064" s="133"/>
      <c r="IA1064" s="133"/>
      <c r="IB1064" s="133"/>
      <c r="IC1064" s="133"/>
      <c r="ID1064" s="133"/>
      <c r="IE1064" s="133"/>
      <c r="IF1064" s="133"/>
      <c r="IG1064" s="133"/>
      <c r="IH1064" s="133"/>
      <c r="II1064" s="133"/>
      <c r="IJ1064" s="133"/>
      <c r="IK1064" s="133"/>
      <c r="IL1064" s="133"/>
      <c r="IM1064" s="133"/>
      <c r="IN1064" s="133"/>
      <c r="IO1064" s="133"/>
      <c r="IP1064" s="133"/>
      <c r="IQ1064" s="133"/>
      <c r="IR1064" s="133"/>
      <c r="IS1064" s="133"/>
      <c r="IT1064" s="133"/>
      <c r="IU1064" s="133"/>
      <c r="IV1064" s="133"/>
    </row>
    <row r="1065" spans="1:256" s="132" customFormat="1" ht="13.8">
      <c r="A1065" s="133"/>
      <c r="B1065" s="133"/>
      <c r="C1065" s="133"/>
      <c r="D1065" s="133"/>
      <c r="E1065" s="133"/>
      <c r="F1065" s="133"/>
      <c r="G1065" s="133"/>
      <c r="H1065" s="133"/>
      <c r="I1065" s="133"/>
      <c r="J1065" s="133"/>
      <c r="K1065" s="133"/>
      <c r="L1065" s="133"/>
      <c r="M1065" s="133"/>
      <c r="N1065" s="133"/>
      <c r="O1065" s="133"/>
      <c r="P1065" s="133"/>
      <c r="GE1065" s="133"/>
      <c r="GF1065" s="133"/>
      <c r="GG1065" s="133"/>
      <c r="GH1065" s="133"/>
      <c r="GI1065" s="133"/>
      <c r="GJ1065" s="133"/>
      <c r="GK1065" s="133"/>
      <c r="GL1065" s="133"/>
      <c r="GM1065" s="133"/>
      <c r="GN1065" s="133"/>
      <c r="GO1065" s="133"/>
      <c r="GP1065" s="133"/>
      <c r="GQ1065" s="133"/>
      <c r="GR1065" s="133"/>
      <c r="GS1065" s="133"/>
      <c r="GT1065" s="133"/>
      <c r="GU1065" s="133"/>
      <c r="GV1065" s="133"/>
      <c r="GW1065" s="133"/>
      <c r="GX1065" s="133"/>
      <c r="GY1065" s="133"/>
      <c r="GZ1065" s="133"/>
      <c r="HA1065" s="133"/>
      <c r="HB1065" s="133"/>
      <c r="HC1065" s="133"/>
      <c r="HD1065" s="133"/>
      <c r="HE1065" s="133"/>
      <c r="HF1065" s="133"/>
      <c r="HG1065" s="133"/>
      <c r="HH1065" s="133"/>
      <c r="HI1065" s="133"/>
      <c r="HJ1065" s="133"/>
      <c r="HK1065" s="133"/>
      <c r="HL1065" s="133"/>
      <c r="HM1065" s="133"/>
      <c r="HN1065" s="133"/>
      <c r="HO1065" s="133"/>
      <c r="HP1065" s="133"/>
      <c r="HQ1065" s="133"/>
      <c r="HR1065" s="133"/>
      <c r="HS1065" s="133"/>
      <c r="HT1065" s="133"/>
      <c r="HU1065" s="133"/>
      <c r="HV1065" s="133"/>
      <c r="HW1065" s="133"/>
      <c r="HX1065" s="133"/>
      <c r="HY1065" s="133"/>
      <c r="HZ1065" s="133"/>
      <c r="IA1065" s="133"/>
      <c r="IB1065" s="133"/>
      <c r="IC1065" s="133"/>
      <c r="ID1065" s="133"/>
      <c r="IE1065" s="133"/>
      <c r="IF1065" s="133"/>
      <c r="IG1065" s="133"/>
      <c r="IH1065" s="133"/>
      <c r="II1065" s="133"/>
      <c r="IJ1065" s="133"/>
      <c r="IK1065" s="133"/>
      <c r="IL1065" s="133"/>
      <c r="IM1065" s="133"/>
      <c r="IN1065" s="133"/>
      <c r="IO1065" s="133"/>
      <c r="IP1065" s="133"/>
      <c r="IQ1065" s="133"/>
      <c r="IR1065" s="133"/>
      <c r="IS1065" s="133"/>
      <c r="IT1065" s="133"/>
      <c r="IU1065" s="133"/>
      <c r="IV1065" s="133"/>
    </row>
    <row r="1066" spans="1:256" s="132" customFormat="1" ht="13.8">
      <c r="A1066" s="133"/>
      <c r="B1066" s="133"/>
      <c r="C1066" s="133"/>
      <c r="D1066" s="133"/>
      <c r="E1066" s="133"/>
      <c r="F1066" s="133"/>
      <c r="G1066" s="133"/>
      <c r="H1066" s="133"/>
      <c r="I1066" s="133"/>
      <c r="J1066" s="133"/>
      <c r="K1066" s="133"/>
      <c r="L1066" s="133"/>
      <c r="M1066" s="133"/>
      <c r="N1066" s="133"/>
      <c r="O1066" s="133"/>
      <c r="P1066" s="133"/>
      <c r="GE1066" s="133"/>
      <c r="GF1066" s="133"/>
      <c r="GG1066" s="133"/>
      <c r="GH1066" s="133"/>
      <c r="GI1066" s="133"/>
      <c r="GJ1066" s="133"/>
      <c r="GK1066" s="133"/>
      <c r="GL1066" s="133"/>
      <c r="GM1066" s="133"/>
      <c r="GN1066" s="133"/>
      <c r="GO1066" s="133"/>
      <c r="GP1066" s="133"/>
      <c r="GQ1066" s="133"/>
      <c r="GR1066" s="133"/>
      <c r="GS1066" s="133"/>
      <c r="GT1066" s="133"/>
      <c r="GU1066" s="133"/>
      <c r="GV1066" s="133"/>
      <c r="GW1066" s="133"/>
      <c r="GX1066" s="133"/>
      <c r="GY1066" s="133"/>
      <c r="GZ1066" s="133"/>
      <c r="HA1066" s="133"/>
      <c r="HB1066" s="133"/>
      <c r="HC1066" s="133"/>
      <c r="HD1066" s="133"/>
      <c r="HE1066" s="133"/>
      <c r="HF1066" s="133"/>
      <c r="HG1066" s="133"/>
      <c r="HH1066" s="133"/>
      <c r="HI1066" s="133"/>
      <c r="HJ1066" s="133"/>
      <c r="HK1066" s="133"/>
      <c r="HL1066" s="133"/>
      <c r="HM1066" s="133"/>
      <c r="HN1066" s="133"/>
      <c r="HO1066" s="133"/>
      <c r="HP1066" s="133"/>
      <c r="HQ1066" s="133"/>
      <c r="HR1066" s="133"/>
      <c r="HS1066" s="133"/>
      <c r="HT1066" s="133"/>
      <c r="HU1066" s="133"/>
      <c r="HV1066" s="133"/>
      <c r="HW1066" s="133"/>
      <c r="HX1066" s="133"/>
      <c r="HY1066" s="133"/>
      <c r="HZ1066" s="133"/>
      <c r="IA1066" s="133"/>
      <c r="IB1066" s="133"/>
      <c r="IC1066" s="133"/>
      <c r="ID1066" s="133"/>
      <c r="IE1066" s="133"/>
      <c r="IF1066" s="133"/>
      <c r="IG1066" s="133"/>
      <c r="IH1066" s="133"/>
      <c r="II1066" s="133"/>
      <c r="IJ1066" s="133"/>
      <c r="IK1066" s="133"/>
      <c r="IL1066" s="133"/>
      <c r="IM1066" s="133"/>
      <c r="IN1066" s="133"/>
      <c r="IO1066" s="133"/>
      <c r="IP1066" s="133"/>
      <c r="IQ1066" s="133"/>
      <c r="IR1066" s="133"/>
      <c r="IS1066" s="133"/>
      <c r="IT1066" s="133"/>
      <c r="IU1066" s="133"/>
      <c r="IV1066" s="133"/>
    </row>
    <row r="1067" spans="1:256" s="132" customFormat="1" ht="13.8">
      <c r="A1067" s="133"/>
      <c r="B1067" s="133"/>
      <c r="C1067" s="133"/>
      <c r="D1067" s="133"/>
      <c r="E1067" s="133"/>
      <c r="F1067" s="133"/>
      <c r="G1067" s="133"/>
      <c r="H1067" s="133"/>
      <c r="I1067" s="133"/>
      <c r="J1067" s="133"/>
      <c r="K1067" s="133"/>
      <c r="L1067" s="133"/>
      <c r="M1067" s="133"/>
      <c r="N1067" s="133"/>
      <c r="O1067" s="133"/>
      <c r="P1067" s="133"/>
      <c r="GE1067" s="133"/>
      <c r="GF1067" s="133"/>
      <c r="GG1067" s="133"/>
      <c r="GH1067" s="133"/>
      <c r="GI1067" s="133"/>
      <c r="GJ1067" s="133"/>
      <c r="GK1067" s="133"/>
      <c r="GL1067" s="133"/>
      <c r="GM1067" s="133"/>
      <c r="GN1067" s="133"/>
      <c r="GO1067" s="133"/>
      <c r="GP1067" s="133"/>
      <c r="GQ1067" s="133"/>
      <c r="GR1067" s="133"/>
      <c r="GS1067" s="133"/>
      <c r="GT1067" s="133"/>
      <c r="GU1067" s="133"/>
      <c r="GV1067" s="133"/>
      <c r="GW1067" s="133"/>
      <c r="GX1067" s="133"/>
      <c r="GY1067" s="133"/>
      <c r="GZ1067" s="133"/>
      <c r="HA1067" s="133"/>
      <c r="HB1067" s="133"/>
      <c r="HC1067" s="133"/>
      <c r="HD1067" s="133"/>
      <c r="HE1067" s="133"/>
      <c r="HF1067" s="133"/>
      <c r="HG1067" s="133"/>
      <c r="HH1067" s="133"/>
      <c r="HI1067" s="133"/>
      <c r="HJ1067" s="133"/>
      <c r="HK1067" s="133"/>
      <c r="HL1067" s="133"/>
      <c r="HM1067" s="133"/>
      <c r="HN1067" s="133"/>
      <c r="HO1067" s="133"/>
      <c r="HP1067" s="133"/>
      <c r="HQ1067" s="133"/>
      <c r="HR1067" s="133"/>
      <c r="HS1067" s="133"/>
      <c r="HT1067" s="133"/>
      <c r="HU1067" s="133"/>
      <c r="HV1067" s="133"/>
      <c r="HW1067" s="133"/>
      <c r="HX1067" s="133"/>
      <c r="HY1067" s="133"/>
      <c r="HZ1067" s="133"/>
      <c r="IA1067" s="133"/>
      <c r="IB1067" s="133"/>
      <c r="IC1067" s="133"/>
      <c r="ID1067" s="133"/>
      <c r="IE1067" s="133"/>
      <c r="IF1067" s="133"/>
      <c r="IG1067" s="133"/>
      <c r="IH1067" s="133"/>
      <c r="II1067" s="133"/>
      <c r="IJ1067" s="133"/>
      <c r="IK1067" s="133"/>
      <c r="IL1067" s="133"/>
      <c r="IM1067" s="133"/>
      <c r="IN1067" s="133"/>
      <c r="IO1067" s="133"/>
      <c r="IP1067" s="133"/>
      <c r="IQ1067" s="133"/>
      <c r="IR1067" s="133"/>
      <c r="IS1067" s="133"/>
      <c r="IT1067" s="133"/>
      <c r="IU1067" s="133"/>
      <c r="IV1067" s="133"/>
    </row>
    <row r="1068" spans="1:256" s="132" customFormat="1" ht="13.8">
      <c r="A1068" s="133"/>
      <c r="B1068" s="133"/>
      <c r="C1068" s="133"/>
      <c r="D1068" s="133"/>
      <c r="E1068" s="133"/>
      <c r="F1068" s="133"/>
      <c r="G1068" s="133"/>
      <c r="H1068" s="133"/>
      <c r="I1068" s="133"/>
      <c r="J1068" s="133"/>
      <c r="K1068" s="133"/>
      <c r="L1068" s="133"/>
      <c r="M1068" s="133"/>
      <c r="N1068" s="133"/>
      <c r="O1068" s="133"/>
      <c r="P1068" s="133"/>
      <c r="GE1068" s="133"/>
      <c r="GF1068" s="133"/>
      <c r="GG1068" s="133"/>
      <c r="GH1068" s="133"/>
      <c r="GI1068" s="133"/>
      <c r="GJ1068" s="133"/>
      <c r="GK1068" s="133"/>
      <c r="GL1068" s="133"/>
      <c r="GM1068" s="133"/>
      <c r="GN1068" s="133"/>
      <c r="GO1068" s="133"/>
      <c r="GP1068" s="133"/>
      <c r="GQ1068" s="133"/>
      <c r="GR1068" s="133"/>
      <c r="GS1068" s="133"/>
      <c r="GT1068" s="133"/>
      <c r="GU1068" s="133"/>
      <c r="GV1068" s="133"/>
      <c r="GW1068" s="133"/>
      <c r="GX1068" s="133"/>
      <c r="GY1068" s="133"/>
      <c r="GZ1068" s="133"/>
      <c r="HA1068" s="133"/>
      <c r="HB1068" s="133"/>
      <c r="HC1068" s="133"/>
      <c r="HD1068" s="133"/>
      <c r="HE1068" s="133"/>
      <c r="HF1068" s="133"/>
      <c r="HG1068" s="133"/>
      <c r="HH1068" s="133"/>
      <c r="HI1068" s="133"/>
      <c r="HJ1068" s="133"/>
      <c r="HK1068" s="133"/>
      <c r="HL1068" s="133"/>
      <c r="HM1068" s="133"/>
      <c r="HN1068" s="133"/>
      <c r="HO1068" s="133"/>
      <c r="HP1068" s="133"/>
      <c r="HQ1068" s="133"/>
      <c r="HR1068" s="133"/>
      <c r="HS1068" s="133"/>
      <c r="HT1068" s="133"/>
      <c r="HU1068" s="133"/>
      <c r="HV1068" s="133"/>
      <c r="HW1068" s="133"/>
      <c r="HX1068" s="133"/>
      <c r="HY1068" s="133"/>
      <c r="HZ1068" s="133"/>
      <c r="IA1068" s="133"/>
      <c r="IB1068" s="133"/>
      <c r="IC1068" s="133"/>
      <c r="ID1068" s="133"/>
      <c r="IE1068" s="133"/>
      <c r="IF1068" s="133"/>
      <c r="IG1068" s="133"/>
      <c r="IH1068" s="133"/>
      <c r="II1068" s="133"/>
      <c r="IJ1068" s="133"/>
      <c r="IK1068" s="133"/>
      <c r="IL1068" s="133"/>
      <c r="IM1068" s="133"/>
      <c r="IN1068" s="133"/>
      <c r="IO1068" s="133"/>
      <c r="IP1068" s="133"/>
      <c r="IQ1068" s="133"/>
      <c r="IR1068" s="133"/>
      <c r="IS1068" s="133"/>
      <c r="IT1068" s="133"/>
      <c r="IU1068" s="133"/>
      <c r="IV1068" s="133"/>
    </row>
    <row r="1069" spans="1:256" s="132" customFormat="1" ht="13.8">
      <c r="A1069" s="133"/>
      <c r="B1069" s="133"/>
      <c r="C1069" s="133"/>
      <c r="D1069" s="133"/>
      <c r="E1069" s="133"/>
      <c r="F1069" s="133"/>
      <c r="G1069" s="133"/>
      <c r="H1069" s="133"/>
      <c r="I1069" s="133"/>
      <c r="J1069" s="133"/>
      <c r="K1069" s="133"/>
      <c r="L1069" s="133"/>
      <c r="M1069" s="133"/>
      <c r="N1069" s="133"/>
      <c r="O1069" s="133"/>
      <c r="P1069" s="133"/>
      <c r="GE1069" s="133"/>
      <c r="GF1069" s="133"/>
      <c r="GG1069" s="133"/>
      <c r="GH1069" s="133"/>
      <c r="GI1069" s="133"/>
      <c r="GJ1069" s="133"/>
      <c r="GK1069" s="133"/>
      <c r="GL1069" s="133"/>
      <c r="GM1069" s="133"/>
      <c r="GN1069" s="133"/>
      <c r="GO1069" s="133"/>
      <c r="GP1069" s="133"/>
      <c r="GQ1069" s="133"/>
      <c r="GR1069" s="133"/>
      <c r="GS1069" s="133"/>
      <c r="GT1069" s="133"/>
      <c r="GU1069" s="133"/>
      <c r="GV1069" s="133"/>
      <c r="GW1069" s="133"/>
      <c r="GX1069" s="133"/>
      <c r="GY1069" s="133"/>
      <c r="GZ1069" s="133"/>
      <c r="HA1069" s="133"/>
      <c r="HB1069" s="133"/>
      <c r="HC1069" s="133"/>
      <c r="HD1069" s="133"/>
      <c r="HE1069" s="133"/>
      <c r="HF1069" s="133"/>
      <c r="HG1069" s="133"/>
      <c r="HH1069" s="133"/>
      <c r="HI1069" s="133"/>
      <c r="HJ1069" s="133"/>
      <c r="HK1069" s="133"/>
      <c r="HL1069" s="133"/>
      <c r="HM1069" s="133"/>
      <c r="HN1069" s="133"/>
      <c r="HO1069" s="133"/>
      <c r="HP1069" s="133"/>
      <c r="HQ1069" s="133"/>
      <c r="HR1069" s="133"/>
      <c r="HS1069" s="133"/>
      <c r="HT1069" s="133"/>
      <c r="HU1069" s="133"/>
      <c r="HV1069" s="133"/>
      <c r="HW1069" s="133"/>
      <c r="HX1069" s="133"/>
      <c r="HY1069" s="133"/>
      <c r="HZ1069" s="133"/>
      <c r="IA1069" s="133"/>
      <c r="IB1069" s="133"/>
      <c r="IC1069" s="133"/>
      <c r="ID1069" s="133"/>
      <c r="IE1069" s="133"/>
      <c r="IF1069" s="133"/>
      <c r="IG1069" s="133"/>
      <c r="IH1069" s="133"/>
      <c r="II1069" s="133"/>
      <c r="IJ1069" s="133"/>
      <c r="IK1069" s="133"/>
      <c r="IL1069" s="133"/>
      <c r="IM1069" s="133"/>
      <c r="IN1069" s="133"/>
      <c r="IO1069" s="133"/>
      <c r="IP1069" s="133"/>
      <c r="IQ1069" s="133"/>
      <c r="IR1069" s="133"/>
      <c r="IS1069" s="133"/>
      <c r="IT1069" s="133"/>
      <c r="IU1069" s="133"/>
      <c r="IV1069" s="133"/>
    </row>
    <row r="1070" spans="1:256" s="132" customFormat="1" ht="13.8">
      <c r="A1070" s="133"/>
      <c r="B1070" s="133"/>
      <c r="C1070" s="133"/>
      <c r="D1070" s="133"/>
      <c r="E1070" s="133"/>
      <c r="F1070" s="133"/>
      <c r="G1070" s="133"/>
      <c r="H1070" s="133"/>
      <c r="I1070" s="133"/>
      <c r="J1070" s="133"/>
      <c r="K1070" s="133"/>
      <c r="L1070" s="133"/>
      <c r="M1070" s="133"/>
      <c r="N1070" s="133"/>
      <c r="O1070" s="133"/>
      <c r="P1070" s="133"/>
      <c r="GE1070" s="133"/>
      <c r="GF1070" s="133"/>
      <c r="GG1070" s="133"/>
      <c r="GH1070" s="133"/>
      <c r="GI1070" s="133"/>
      <c r="GJ1070" s="133"/>
      <c r="GK1070" s="133"/>
      <c r="GL1070" s="133"/>
      <c r="GM1070" s="133"/>
      <c r="GN1070" s="133"/>
      <c r="GO1070" s="133"/>
      <c r="GP1070" s="133"/>
      <c r="GQ1070" s="133"/>
      <c r="GR1070" s="133"/>
      <c r="GS1070" s="133"/>
      <c r="GT1070" s="133"/>
      <c r="GU1070" s="133"/>
      <c r="GV1070" s="133"/>
      <c r="GW1070" s="133"/>
      <c r="GX1070" s="133"/>
      <c r="GY1070" s="133"/>
      <c r="GZ1070" s="133"/>
      <c r="HA1070" s="133"/>
      <c r="HB1070" s="133"/>
      <c r="HC1070" s="133"/>
      <c r="HD1070" s="133"/>
      <c r="HE1070" s="133"/>
      <c r="HF1070" s="133"/>
      <c r="HG1070" s="133"/>
      <c r="HH1070" s="133"/>
      <c r="HI1070" s="133"/>
      <c r="HJ1070" s="133"/>
      <c r="HK1070" s="133"/>
      <c r="HL1070" s="133"/>
      <c r="HM1070" s="133"/>
      <c r="HN1070" s="133"/>
      <c r="HO1070" s="133"/>
      <c r="HP1070" s="133"/>
      <c r="HQ1070" s="133"/>
      <c r="HR1070" s="133"/>
      <c r="HS1070" s="133"/>
      <c r="HT1070" s="133"/>
      <c r="HU1070" s="133"/>
      <c r="HV1070" s="133"/>
      <c r="HW1070" s="133"/>
      <c r="HX1070" s="133"/>
      <c r="HY1070" s="133"/>
      <c r="HZ1070" s="133"/>
      <c r="IA1070" s="133"/>
      <c r="IB1070" s="133"/>
      <c r="IC1070" s="133"/>
      <c r="ID1070" s="133"/>
      <c r="IE1070" s="133"/>
      <c r="IF1070" s="133"/>
      <c r="IG1070" s="133"/>
      <c r="IH1070" s="133"/>
      <c r="II1070" s="133"/>
      <c r="IJ1070" s="133"/>
      <c r="IK1070" s="133"/>
      <c r="IL1070" s="133"/>
      <c r="IM1070" s="133"/>
      <c r="IN1070" s="133"/>
      <c r="IO1070" s="133"/>
      <c r="IP1070" s="133"/>
      <c r="IQ1070" s="133"/>
      <c r="IR1070" s="133"/>
      <c r="IS1070" s="133"/>
      <c r="IT1070" s="133"/>
      <c r="IU1070" s="133"/>
      <c r="IV1070" s="133"/>
    </row>
    <row r="1071" spans="1:256" s="132" customFormat="1" ht="13.8">
      <c r="A1071" s="133"/>
      <c r="B1071" s="133"/>
      <c r="C1071" s="133"/>
      <c r="D1071" s="133"/>
      <c r="E1071" s="133"/>
      <c r="F1071" s="133"/>
      <c r="G1071" s="133"/>
      <c r="H1071" s="133"/>
      <c r="I1071" s="133"/>
      <c r="J1071" s="133"/>
      <c r="K1071" s="133"/>
      <c r="L1071" s="133"/>
      <c r="M1071" s="133"/>
      <c r="N1071" s="133"/>
      <c r="O1071" s="133"/>
      <c r="P1071" s="133"/>
      <c r="GE1071" s="133"/>
      <c r="GF1071" s="133"/>
      <c r="GG1071" s="133"/>
      <c r="GH1071" s="133"/>
      <c r="GI1071" s="133"/>
      <c r="GJ1071" s="133"/>
      <c r="GK1071" s="133"/>
      <c r="GL1071" s="133"/>
      <c r="GM1071" s="133"/>
      <c r="GN1071" s="133"/>
      <c r="GO1071" s="133"/>
      <c r="GP1071" s="133"/>
      <c r="GQ1071" s="133"/>
      <c r="GR1071" s="133"/>
      <c r="GS1071" s="133"/>
      <c r="GT1071" s="133"/>
      <c r="GU1071" s="133"/>
      <c r="GV1071" s="133"/>
      <c r="GW1071" s="133"/>
      <c r="GX1071" s="133"/>
      <c r="GY1071" s="133"/>
      <c r="GZ1071" s="133"/>
      <c r="HA1071" s="133"/>
      <c r="HB1071" s="133"/>
      <c r="HC1071" s="133"/>
      <c r="HD1071" s="133"/>
      <c r="HE1071" s="133"/>
      <c r="HF1071" s="133"/>
      <c r="HG1071" s="133"/>
      <c r="HH1071" s="133"/>
      <c r="HI1071" s="133"/>
      <c r="HJ1071" s="133"/>
      <c r="HK1071" s="133"/>
      <c r="HL1071" s="133"/>
      <c r="HM1071" s="133"/>
      <c r="HN1071" s="133"/>
      <c r="HO1071" s="133"/>
      <c r="HP1071" s="133"/>
      <c r="HQ1071" s="133"/>
      <c r="HR1071" s="133"/>
      <c r="HS1071" s="133"/>
      <c r="HT1071" s="133"/>
      <c r="HU1071" s="133"/>
      <c r="HV1071" s="133"/>
      <c r="HW1071" s="133"/>
      <c r="HX1071" s="133"/>
      <c r="HY1071" s="133"/>
      <c r="HZ1071" s="133"/>
      <c r="IA1071" s="133"/>
      <c r="IB1071" s="133"/>
      <c r="IC1071" s="133"/>
      <c r="ID1071" s="133"/>
      <c r="IE1071" s="133"/>
      <c r="IF1071" s="133"/>
      <c r="IG1071" s="133"/>
      <c r="IH1071" s="133"/>
      <c r="II1071" s="133"/>
      <c r="IJ1071" s="133"/>
      <c r="IK1071" s="133"/>
      <c r="IL1071" s="133"/>
      <c r="IM1071" s="133"/>
      <c r="IN1071" s="133"/>
      <c r="IO1071" s="133"/>
      <c r="IP1071" s="133"/>
      <c r="IQ1071" s="133"/>
      <c r="IR1071" s="133"/>
      <c r="IS1071" s="133"/>
      <c r="IT1071" s="133"/>
      <c r="IU1071" s="133"/>
      <c r="IV1071" s="133"/>
    </row>
    <row r="1072" spans="1:256" s="132" customFormat="1" ht="13.8">
      <c r="A1072" s="133"/>
      <c r="B1072" s="133"/>
      <c r="C1072" s="133"/>
      <c r="D1072" s="133"/>
      <c r="E1072" s="133"/>
      <c r="F1072" s="133"/>
      <c r="G1072" s="133"/>
      <c r="H1072" s="133"/>
      <c r="I1072" s="133"/>
      <c r="J1072" s="133"/>
      <c r="K1072" s="133"/>
      <c r="L1072" s="133"/>
      <c r="M1072" s="133"/>
      <c r="N1072" s="133"/>
      <c r="O1072" s="133"/>
      <c r="P1072" s="133"/>
      <c r="GE1072" s="133"/>
      <c r="GF1072" s="133"/>
      <c r="GG1072" s="133"/>
      <c r="GH1072" s="133"/>
      <c r="GI1072" s="133"/>
      <c r="GJ1072" s="133"/>
      <c r="GK1072" s="133"/>
      <c r="GL1072" s="133"/>
      <c r="GM1072" s="133"/>
      <c r="GN1072" s="133"/>
      <c r="GO1072" s="133"/>
      <c r="GP1072" s="133"/>
      <c r="GQ1072" s="133"/>
      <c r="GR1072" s="133"/>
      <c r="GS1072" s="133"/>
      <c r="GT1072" s="133"/>
      <c r="GU1072" s="133"/>
      <c r="GV1072" s="133"/>
      <c r="GW1072" s="133"/>
      <c r="GX1072" s="133"/>
      <c r="GY1072" s="133"/>
      <c r="GZ1072" s="133"/>
      <c r="HA1072" s="133"/>
      <c r="HB1072" s="133"/>
      <c r="HC1072" s="133"/>
      <c r="HD1072" s="133"/>
      <c r="HE1072" s="133"/>
      <c r="HF1072" s="133"/>
      <c r="HG1072" s="133"/>
      <c r="HH1072" s="133"/>
      <c r="HI1072" s="133"/>
      <c r="HJ1072" s="133"/>
      <c r="HK1072" s="133"/>
      <c r="HL1072" s="133"/>
      <c r="HM1072" s="133"/>
      <c r="HN1072" s="133"/>
      <c r="HO1072" s="133"/>
      <c r="HP1072" s="133"/>
      <c r="HQ1072" s="133"/>
      <c r="HR1072" s="133"/>
      <c r="HS1072" s="133"/>
      <c r="HT1072" s="133"/>
      <c r="HU1072" s="133"/>
      <c r="HV1072" s="133"/>
      <c r="HW1072" s="133"/>
      <c r="HX1072" s="133"/>
      <c r="HY1072" s="133"/>
      <c r="HZ1072" s="133"/>
      <c r="IA1072" s="133"/>
      <c r="IB1072" s="133"/>
      <c r="IC1072" s="133"/>
      <c r="ID1072" s="133"/>
      <c r="IE1072" s="133"/>
      <c r="IF1072" s="133"/>
      <c r="IG1072" s="133"/>
      <c r="IH1072" s="133"/>
      <c r="II1072" s="133"/>
      <c r="IJ1072" s="133"/>
      <c r="IK1072" s="133"/>
      <c r="IL1072" s="133"/>
      <c r="IM1072" s="133"/>
      <c r="IN1072" s="133"/>
      <c r="IO1072" s="133"/>
      <c r="IP1072" s="133"/>
      <c r="IQ1072" s="133"/>
      <c r="IR1072" s="133"/>
      <c r="IS1072" s="133"/>
      <c r="IT1072" s="133"/>
      <c r="IU1072" s="133"/>
      <c r="IV1072" s="133"/>
    </row>
    <row r="1073" spans="1:256" s="132" customFormat="1" ht="13.8">
      <c r="A1073" s="133"/>
      <c r="B1073" s="133"/>
      <c r="C1073" s="133"/>
      <c r="D1073" s="133"/>
      <c r="E1073" s="133"/>
      <c r="F1073" s="133"/>
      <c r="G1073" s="133"/>
      <c r="H1073" s="133"/>
      <c r="I1073" s="133"/>
      <c r="J1073" s="133"/>
      <c r="K1073" s="133"/>
      <c r="L1073" s="133"/>
      <c r="M1073" s="133"/>
      <c r="N1073" s="133"/>
      <c r="O1073" s="133"/>
      <c r="P1073" s="133"/>
      <c r="GE1073" s="133"/>
      <c r="GF1073" s="133"/>
      <c r="GG1073" s="133"/>
      <c r="GH1073" s="133"/>
      <c r="GI1073" s="133"/>
      <c r="GJ1073" s="133"/>
      <c r="GK1073" s="133"/>
      <c r="GL1073" s="133"/>
      <c r="GM1073" s="133"/>
      <c r="GN1073" s="133"/>
      <c r="GO1073" s="133"/>
      <c r="GP1073" s="133"/>
      <c r="GQ1073" s="133"/>
      <c r="GR1073" s="133"/>
      <c r="GS1073" s="133"/>
      <c r="GT1073" s="133"/>
      <c r="GU1073" s="133"/>
      <c r="GV1073" s="133"/>
      <c r="GW1073" s="133"/>
      <c r="GX1073" s="133"/>
      <c r="GY1073" s="133"/>
      <c r="GZ1073" s="133"/>
      <c r="HA1073" s="133"/>
      <c r="HB1073" s="133"/>
      <c r="HC1073" s="133"/>
      <c r="HD1073" s="133"/>
      <c r="HE1073" s="133"/>
      <c r="HF1073" s="133"/>
      <c r="HG1073" s="133"/>
      <c r="HH1073" s="133"/>
      <c r="HI1073" s="133"/>
      <c r="HJ1073" s="133"/>
      <c r="HK1073" s="133"/>
      <c r="HL1073" s="133"/>
      <c r="HM1073" s="133"/>
      <c r="HN1073" s="133"/>
      <c r="HO1073" s="133"/>
      <c r="HP1073" s="133"/>
      <c r="HQ1073" s="133"/>
      <c r="HR1073" s="133"/>
      <c r="HS1073" s="133"/>
      <c r="HT1073" s="133"/>
      <c r="HU1073" s="133"/>
      <c r="HV1073" s="133"/>
      <c r="HW1073" s="133"/>
      <c r="HX1073" s="133"/>
      <c r="HY1073" s="133"/>
      <c r="HZ1073" s="133"/>
      <c r="IA1073" s="133"/>
      <c r="IB1073" s="133"/>
      <c r="IC1073" s="133"/>
      <c r="ID1073" s="133"/>
      <c r="IE1073" s="133"/>
      <c r="IF1073" s="133"/>
      <c r="IG1073" s="133"/>
      <c r="IH1073" s="133"/>
      <c r="II1073" s="133"/>
      <c r="IJ1073" s="133"/>
      <c r="IK1073" s="133"/>
      <c r="IL1073" s="133"/>
      <c r="IM1073" s="133"/>
      <c r="IN1073" s="133"/>
      <c r="IO1073" s="133"/>
      <c r="IP1073" s="133"/>
      <c r="IQ1073" s="133"/>
      <c r="IR1073" s="133"/>
      <c r="IS1073" s="133"/>
      <c r="IT1073" s="133"/>
      <c r="IU1073" s="133"/>
      <c r="IV1073" s="133"/>
    </row>
    <row r="1074" spans="1:256" s="132" customFormat="1" ht="13.8">
      <c r="A1074" s="133"/>
      <c r="B1074" s="133"/>
      <c r="C1074" s="133"/>
      <c r="D1074" s="133"/>
      <c r="E1074" s="133"/>
      <c r="F1074" s="133"/>
      <c r="G1074" s="133"/>
      <c r="H1074" s="133"/>
      <c r="I1074" s="133"/>
      <c r="J1074" s="133"/>
      <c r="K1074" s="133"/>
      <c r="L1074" s="133"/>
      <c r="M1074" s="133"/>
      <c r="N1074" s="133"/>
      <c r="O1074" s="133"/>
      <c r="P1074" s="133"/>
      <c r="GE1074" s="133"/>
      <c r="GF1074" s="133"/>
      <c r="GG1074" s="133"/>
      <c r="GH1074" s="133"/>
      <c r="GI1074" s="133"/>
      <c r="GJ1074" s="133"/>
      <c r="GK1074" s="133"/>
      <c r="GL1074" s="133"/>
      <c r="GM1074" s="133"/>
      <c r="GN1074" s="133"/>
      <c r="GO1074" s="133"/>
      <c r="GP1074" s="133"/>
      <c r="GQ1074" s="133"/>
      <c r="GR1074" s="133"/>
      <c r="GS1074" s="133"/>
      <c r="GT1074" s="133"/>
      <c r="GU1074" s="133"/>
      <c r="GV1074" s="133"/>
      <c r="GW1074" s="133"/>
      <c r="GX1074" s="133"/>
      <c r="GY1074" s="133"/>
      <c r="GZ1074" s="133"/>
      <c r="HA1074" s="133"/>
      <c r="HB1074" s="133"/>
      <c r="HC1074" s="133"/>
      <c r="HD1074" s="133"/>
      <c r="HE1074" s="133"/>
      <c r="HF1074" s="133"/>
      <c r="HG1074" s="133"/>
      <c r="HH1074" s="133"/>
      <c r="HI1074" s="133"/>
      <c r="HJ1074" s="133"/>
      <c r="HK1074" s="133"/>
      <c r="HL1074" s="133"/>
      <c r="HM1074" s="133"/>
      <c r="HN1074" s="133"/>
      <c r="HO1074" s="133"/>
      <c r="HP1074" s="133"/>
      <c r="HQ1074" s="133"/>
      <c r="HR1074" s="133"/>
      <c r="HS1074" s="133"/>
      <c r="HT1074" s="133"/>
      <c r="HU1074" s="133"/>
      <c r="HV1074" s="133"/>
      <c r="HW1074" s="133"/>
      <c r="HX1074" s="133"/>
      <c r="HY1074" s="133"/>
      <c r="HZ1074" s="133"/>
      <c r="IA1074" s="133"/>
      <c r="IB1074" s="133"/>
      <c r="IC1074" s="133"/>
      <c r="ID1074" s="133"/>
      <c r="IE1074" s="133"/>
      <c r="IF1074" s="133"/>
      <c r="IG1074" s="133"/>
      <c r="IH1074" s="133"/>
      <c r="II1074" s="133"/>
      <c r="IJ1074" s="133"/>
      <c r="IK1074" s="133"/>
      <c r="IL1074" s="133"/>
      <c r="IM1074" s="133"/>
      <c r="IN1074" s="133"/>
      <c r="IO1074" s="133"/>
      <c r="IP1074" s="133"/>
      <c r="IQ1074" s="133"/>
      <c r="IR1074" s="133"/>
      <c r="IS1074" s="133"/>
      <c r="IT1074" s="133"/>
      <c r="IU1074" s="133"/>
      <c r="IV1074" s="133"/>
    </row>
    <row r="1075" spans="1:256" s="132" customFormat="1" ht="13.8">
      <c r="A1075" s="133"/>
      <c r="B1075" s="133"/>
      <c r="C1075" s="133"/>
      <c r="D1075" s="133"/>
      <c r="E1075" s="133"/>
      <c r="F1075" s="133"/>
      <c r="G1075" s="133"/>
      <c r="H1075" s="133"/>
      <c r="I1075" s="133"/>
      <c r="J1075" s="133"/>
      <c r="K1075" s="133"/>
      <c r="L1075" s="133"/>
      <c r="M1075" s="133"/>
      <c r="N1075" s="133"/>
      <c r="O1075" s="133"/>
      <c r="P1075" s="133"/>
      <c r="GE1075" s="133"/>
      <c r="GF1075" s="133"/>
      <c r="GG1075" s="133"/>
      <c r="GH1075" s="133"/>
      <c r="GI1075" s="133"/>
      <c r="GJ1075" s="133"/>
      <c r="GK1075" s="133"/>
      <c r="GL1075" s="133"/>
      <c r="GM1075" s="133"/>
      <c r="GN1075" s="133"/>
      <c r="GO1075" s="133"/>
      <c r="GP1075" s="133"/>
      <c r="GQ1075" s="133"/>
      <c r="GR1075" s="133"/>
      <c r="GS1075" s="133"/>
      <c r="GT1075" s="133"/>
      <c r="GU1075" s="133"/>
      <c r="GV1075" s="133"/>
      <c r="GW1075" s="133"/>
      <c r="GX1075" s="133"/>
      <c r="GY1075" s="133"/>
      <c r="GZ1075" s="133"/>
      <c r="HA1075" s="133"/>
      <c r="HB1075" s="133"/>
      <c r="HC1075" s="133"/>
      <c r="HD1075" s="133"/>
      <c r="HE1075" s="133"/>
      <c r="HF1075" s="133"/>
      <c r="HG1075" s="133"/>
      <c r="HH1075" s="133"/>
      <c r="HI1075" s="133"/>
      <c r="HJ1075" s="133"/>
      <c r="HK1075" s="133"/>
      <c r="HL1075" s="133"/>
      <c r="HM1075" s="133"/>
      <c r="HN1075" s="133"/>
      <c r="HO1075" s="133"/>
      <c r="HP1075" s="133"/>
      <c r="HQ1075" s="133"/>
      <c r="HR1075" s="133"/>
      <c r="HS1075" s="133"/>
      <c r="HT1075" s="133"/>
      <c r="HU1075" s="133"/>
      <c r="HV1075" s="133"/>
      <c r="HW1075" s="133"/>
      <c r="HX1075" s="133"/>
      <c r="HY1075" s="133"/>
      <c r="HZ1075" s="133"/>
      <c r="IA1075" s="133"/>
      <c r="IB1075" s="133"/>
      <c r="IC1075" s="133"/>
      <c r="ID1075" s="133"/>
      <c r="IE1075" s="133"/>
      <c r="IF1075" s="133"/>
      <c r="IG1075" s="133"/>
      <c r="IH1075" s="133"/>
      <c r="II1075" s="133"/>
      <c r="IJ1075" s="133"/>
      <c r="IK1075" s="133"/>
      <c r="IL1075" s="133"/>
      <c r="IM1075" s="133"/>
      <c r="IN1075" s="133"/>
      <c r="IO1075" s="133"/>
      <c r="IP1075" s="133"/>
      <c r="IQ1075" s="133"/>
      <c r="IR1075" s="133"/>
      <c r="IS1075" s="133"/>
      <c r="IT1075" s="133"/>
      <c r="IU1075" s="133"/>
      <c r="IV1075" s="133"/>
    </row>
    <row r="1076" spans="1:256" s="132" customFormat="1" ht="13.8">
      <c r="A1076" s="133"/>
      <c r="B1076" s="133"/>
      <c r="C1076" s="133"/>
      <c r="D1076" s="133"/>
      <c r="E1076" s="133"/>
      <c r="F1076" s="133"/>
      <c r="G1076" s="133"/>
      <c r="H1076" s="133"/>
      <c r="I1076" s="133"/>
      <c r="J1076" s="133"/>
      <c r="K1076" s="133"/>
      <c r="L1076" s="133"/>
      <c r="M1076" s="133"/>
      <c r="N1076" s="133"/>
      <c r="O1076" s="133"/>
      <c r="P1076" s="133"/>
      <c r="GE1076" s="133"/>
      <c r="GF1076" s="133"/>
      <c r="GG1076" s="133"/>
      <c r="GH1076" s="133"/>
      <c r="GI1076" s="133"/>
      <c r="GJ1076" s="133"/>
      <c r="GK1076" s="133"/>
      <c r="GL1076" s="133"/>
      <c r="GM1076" s="133"/>
      <c r="GN1076" s="133"/>
      <c r="GO1076" s="133"/>
      <c r="GP1076" s="133"/>
      <c r="GQ1076" s="133"/>
      <c r="GR1076" s="133"/>
      <c r="GS1076" s="133"/>
      <c r="GT1076" s="133"/>
      <c r="GU1076" s="133"/>
      <c r="GV1076" s="133"/>
      <c r="GW1076" s="133"/>
      <c r="GX1076" s="133"/>
      <c r="GY1076" s="133"/>
      <c r="GZ1076" s="133"/>
      <c r="HA1076" s="133"/>
      <c r="HB1076" s="133"/>
      <c r="HC1076" s="133"/>
      <c r="HD1076" s="133"/>
      <c r="HE1076" s="133"/>
      <c r="HF1076" s="133"/>
      <c r="HG1076" s="133"/>
      <c r="HH1076" s="133"/>
      <c r="HI1076" s="133"/>
      <c r="HJ1076" s="133"/>
      <c r="HK1076" s="133"/>
      <c r="HL1076" s="133"/>
      <c r="HM1076" s="133"/>
      <c r="HN1076" s="133"/>
      <c r="HO1076" s="133"/>
      <c r="HP1076" s="133"/>
      <c r="HQ1076" s="133"/>
      <c r="HR1076" s="133"/>
      <c r="HS1076" s="133"/>
      <c r="HT1076" s="133"/>
      <c r="HU1076" s="133"/>
      <c r="HV1076" s="133"/>
      <c r="HW1076" s="133"/>
      <c r="HX1076" s="133"/>
      <c r="HY1076" s="133"/>
      <c r="HZ1076" s="133"/>
      <c r="IA1076" s="133"/>
      <c r="IB1076" s="133"/>
      <c r="IC1076" s="133"/>
      <c r="ID1076" s="133"/>
      <c r="IE1076" s="133"/>
      <c r="IF1076" s="133"/>
      <c r="IG1076" s="133"/>
      <c r="IH1076" s="133"/>
      <c r="II1076" s="133"/>
      <c r="IJ1076" s="133"/>
      <c r="IK1076" s="133"/>
      <c r="IL1076" s="133"/>
      <c r="IM1076" s="133"/>
      <c r="IN1076" s="133"/>
      <c r="IO1076" s="133"/>
      <c r="IP1076" s="133"/>
      <c r="IQ1076" s="133"/>
      <c r="IR1076" s="133"/>
      <c r="IS1076" s="133"/>
      <c r="IT1076" s="133"/>
      <c r="IU1076" s="133"/>
      <c r="IV1076" s="133"/>
    </row>
    <row r="1077" spans="1:256" s="132" customFormat="1" ht="13.8">
      <c r="A1077" s="133"/>
      <c r="B1077" s="133"/>
      <c r="C1077" s="133"/>
      <c r="D1077" s="133"/>
      <c r="E1077" s="133"/>
      <c r="F1077" s="133"/>
      <c r="G1077" s="133"/>
      <c r="H1077" s="133"/>
      <c r="I1077" s="133"/>
      <c r="J1077" s="133"/>
      <c r="K1077" s="133"/>
      <c r="L1077" s="133"/>
      <c r="M1077" s="133"/>
      <c r="N1077" s="133"/>
      <c r="O1077" s="133"/>
      <c r="P1077" s="133"/>
      <c r="GE1077" s="133"/>
      <c r="GF1077" s="133"/>
      <c r="GG1077" s="133"/>
      <c r="GH1077" s="133"/>
      <c r="GI1077" s="133"/>
      <c r="GJ1077" s="133"/>
      <c r="GK1077" s="133"/>
      <c r="GL1077" s="133"/>
      <c r="GM1077" s="133"/>
      <c r="GN1077" s="133"/>
      <c r="GO1077" s="133"/>
      <c r="GP1077" s="133"/>
      <c r="GQ1077" s="133"/>
      <c r="GR1077" s="133"/>
      <c r="GS1077" s="133"/>
      <c r="GT1077" s="133"/>
      <c r="GU1077" s="133"/>
      <c r="GV1077" s="133"/>
      <c r="GW1077" s="133"/>
      <c r="GX1077" s="133"/>
      <c r="GY1077" s="133"/>
      <c r="GZ1077" s="133"/>
      <c r="HA1077" s="133"/>
      <c r="HB1077" s="133"/>
      <c r="HC1077" s="133"/>
      <c r="HD1077" s="133"/>
      <c r="HE1077" s="133"/>
      <c r="HF1077" s="133"/>
      <c r="HG1077" s="133"/>
      <c r="HH1077" s="133"/>
      <c r="HI1077" s="133"/>
      <c r="HJ1077" s="133"/>
      <c r="HK1077" s="133"/>
      <c r="HL1077" s="133"/>
      <c r="HM1077" s="133"/>
      <c r="HN1077" s="133"/>
      <c r="HO1077" s="133"/>
      <c r="HP1077" s="133"/>
      <c r="HQ1077" s="133"/>
      <c r="HR1077" s="133"/>
      <c r="HS1077" s="133"/>
      <c r="HT1077" s="133"/>
      <c r="HU1077" s="133"/>
      <c r="HV1077" s="133"/>
      <c r="HW1077" s="133"/>
      <c r="HX1077" s="133"/>
      <c r="HY1077" s="133"/>
      <c r="HZ1077" s="133"/>
      <c r="IA1077" s="133"/>
      <c r="IB1077" s="133"/>
      <c r="IC1077" s="133"/>
      <c r="ID1077" s="133"/>
      <c r="IE1077" s="133"/>
      <c r="IF1077" s="133"/>
      <c r="IG1077" s="133"/>
      <c r="IH1077" s="133"/>
      <c r="II1077" s="133"/>
      <c r="IJ1077" s="133"/>
      <c r="IK1077" s="133"/>
      <c r="IL1077" s="133"/>
      <c r="IM1077" s="133"/>
      <c r="IN1077" s="133"/>
      <c r="IO1077" s="133"/>
      <c r="IP1077" s="133"/>
      <c r="IQ1077" s="133"/>
      <c r="IR1077" s="133"/>
      <c r="IS1077" s="133"/>
      <c r="IT1077" s="133"/>
      <c r="IU1077" s="133"/>
      <c r="IV1077" s="133"/>
    </row>
    <row r="1078" spans="1:256" s="132" customFormat="1" ht="13.8">
      <c r="A1078" s="133"/>
      <c r="B1078" s="133"/>
      <c r="C1078" s="133"/>
      <c r="D1078" s="133"/>
      <c r="E1078" s="133"/>
      <c r="F1078" s="133"/>
      <c r="G1078" s="133"/>
      <c r="H1078" s="133"/>
      <c r="I1078" s="133"/>
      <c r="J1078" s="133"/>
      <c r="K1078" s="133"/>
      <c r="L1078" s="133"/>
      <c r="M1078" s="133"/>
      <c r="N1078" s="133"/>
      <c r="O1078" s="133"/>
      <c r="P1078" s="133"/>
      <c r="GE1078" s="133"/>
      <c r="GF1078" s="133"/>
      <c r="GG1078" s="133"/>
      <c r="GH1078" s="133"/>
      <c r="GI1078" s="133"/>
      <c r="GJ1078" s="133"/>
      <c r="GK1078" s="133"/>
      <c r="GL1078" s="133"/>
      <c r="GM1078" s="133"/>
      <c r="GN1078" s="133"/>
      <c r="GO1078" s="133"/>
      <c r="GP1078" s="133"/>
      <c r="GQ1078" s="133"/>
      <c r="GR1078" s="133"/>
      <c r="GS1078" s="133"/>
      <c r="GT1078" s="133"/>
      <c r="GU1078" s="133"/>
      <c r="GV1078" s="133"/>
      <c r="GW1078" s="133"/>
      <c r="GX1078" s="133"/>
      <c r="GY1078" s="133"/>
      <c r="GZ1078" s="133"/>
      <c r="HA1078" s="133"/>
      <c r="HB1078" s="133"/>
      <c r="HC1078" s="133"/>
      <c r="HD1078" s="133"/>
      <c r="HE1078" s="133"/>
      <c r="HF1078" s="133"/>
      <c r="HG1078" s="133"/>
      <c r="HH1078" s="133"/>
      <c r="HI1078" s="133"/>
      <c r="HJ1078" s="133"/>
      <c r="HK1078" s="133"/>
      <c r="HL1078" s="133"/>
      <c r="HM1078" s="133"/>
      <c r="HN1078" s="133"/>
      <c r="HO1078" s="133"/>
      <c r="HP1078" s="133"/>
      <c r="HQ1078" s="133"/>
      <c r="HR1078" s="133"/>
      <c r="HS1078" s="133"/>
      <c r="HT1078" s="133"/>
      <c r="HU1078" s="133"/>
      <c r="HV1078" s="133"/>
      <c r="HW1078" s="133"/>
      <c r="HX1078" s="133"/>
      <c r="HY1078" s="133"/>
      <c r="HZ1078" s="133"/>
      <c r="IA1078" s="133"/>
      <c r="IB1078" s="133"/>
      <c r="IC1078" s="133"/>
      <c r="ID1078" s="133"/>
      <c r="IE1078" s="133"/>
      <c r="IF1078" s="133"/>
      <c r="IG1078" s="133"/>
      <c r="IH1078" s="133"/>
      <c r="II1078" s="133"/>
      <c r="IJ1078" s="133"/>
      <c r="IK1078" s="133"/>
      <c r="IL1078" s="133"/>
      <c r="IM1078" s="133"/>
      <c r="IN1078" s="133"/>
      <c r="IO1078" s="133"/>
      <c r="IP1078" s="133"/>
      <c r="IQ1078" s="133"/>
      <c r="IR1078" s="133"/>
      <c r="IS1078" s="133"/>
      <c r="IT1078" s="133"/>
      <c r="IU1078" s="133"/>
      <c r="IV1078" s="133"/>
    </row>
    <row r="1079" spans="1:256" s="132" customFormat="1" ht="13.8">
      <c r="A1079" s="133"/>
      <c r="B1079" s="133"/>
      <c r="C1079" s="133"/>
      <c r="D1079" s="133"/>
      <c r="E1079" s="133"/>
      <c r="F1079" s="133"/>
      <c r="G1079" s="133"/>
      <c r="H1079" s="133"/>
      <c r="I1079" s="133"/>
      <c r="J1079" s="133"/>
      <c r="K1079" s="133"/>
      <c r="L1079" s="133"/>
      <c r="M1079" s="133"/>
      <c r="N1079" s="133"/>
      <c r="O1079" s="133"/>
      <c r="P1079" s="133"/>
      <c r="GE1079" s="133"/>
      <c r="GF1079" s="133"/>
      <c r="GG1079" s="133"/>
      <c r="GH1079" s="133"/>
      <c r="GI1079" s="133"/>
      <c r="GJ1079" s="133"/>
      <c r="GK1079" s="133"/>
      <c r="GL1079" s="133"/>
      <c r="GM1079" s="133"/>
      <c r="GN1079" s="133"/>
      <c r="GO1079" s="133"/>
      <c r="GP1079" s="133"/>
      <c r="GQ1079" s="133"/>
      <c r="GR1079" s="133"/>
      <c r="GS1079" s="133"/>
      <c r="GT1079" s="133"/>
      <c r="GU1079" s="133"/>
      <c r="GV1079" s="133"/>
      <c r="GW1079" s="133"/>
      <c r="GX1079" s="133"/>
      <c r="GY1079" s="133"/>
      <c r="GZ1079" s="133"/>
      <c r="HA1079" s="133"/>
      <c r="HB1079" s="133"/>
      <c r="HC1079" s="133"/>
      <c r="HD1079" s="133"/>
      <c r="HE1079" s="133"/>
      <c r="HF1079" s="133"/>
      <c r="HG1079" s="133"/>
      <c r="HH1079" s="133"/>
      <c r="HI1079" s="133"/>
      <c r="HJ1079" s="133"/>
      <c r="HK1079" s="133"/>
      <c r="HL1079" s="133"/>
      <c r="HM1079" s="133"/>
      <c r="HN1079" s="133"/>
      <c r="HO1079" s="133"/>
      <c r="HP1079" s="133"/>
      <c r="HQ1079" s="133"/>
      <c r="HR1079" s="133"/>
      <c r="HS1079" s="133"/>
      <c r="HT1079" s="133"/>
      <c r="HU1079" s="133"/>
      <c r="HV1079" s="133"/>
      <c r="HW1079" s="133"/>
      <c r="HX1079" s="133"/>
      <c r="HY1079" s="133"/>
      <c r="HZ1079" s="133"/>
      <c r="IA1079" s="133"/>
      <c r="IB1079" s="133"/>
      <c r="IC1079" s="133"/>
      <c r="ID1079" s="133"/>
      <c r="IE1079" s="133"/>
      <c r="IF1079" s="133"/>
      <c r="IG1079" s="133"/>
      <c r="IH1079" s="133"/>
      <c r="II1079" s="133"/>
      <c r="IJ1079" s="133"/>
      <c r="IK1079" s="133"/>
      <c r="IL1079" s="133"/>
      <c r="IM1079" s="133"/>
      <c r="IN1079" s="133"/>
      <c r="IO1079" s="133"/>
      <c r="IP1079" s="133"/>
      <c r="IQ1079" s="133"/>
      <c r="IR1079" s="133"/>
      <c r="IS1079" s="133"/>
      <c r="IT1079" s="133"/>
      <c r="IU1079" s="133"/>
      <c r="IV1079" s="133"/>
    </row>
    <row r="1080" spans="1:256" s="132" customFormat="1" ht="13.8">
      <c r="A1080" s="133"/>
      <c r="B1080" s="133"/>
      <c r="C1080" s="133"/>
      <c r="D1080" s="133"/>
      <c r="E1080" s="133"/>
      <c r="F1080" s="133"/>
      <c r="G1080" s="133"/>
      <c r="H1080" s="133"/>
      <c r="I1080" s="133"/>
      <c r="J1080" s="133"/>
      <c r="K1080" s="133"/>
      <c r="L1080" s="133"/>
      <c r="M1080" s="133"/>
      <c r="N1080" s="133"/>
      <c r="O1080" s="133"/>
      <c r="P1080" s="133"/>
      <c r="GE1080" s="133"/>
      <c r="GF1080" s="133"/>
      <c r="GG1080" s="133"/>
      <c r="GH1080" s="133"/>
      <c r="GI1080" s="133"/>
      <c r="GJ1080" s="133"/>
      <c r="GK1080" s="133"/>
      <c r="GL1080" s="133"/>
      <c r="GM1080" s="133"/>
      <c r="GN1080" s="133"/>
      <c r="GO1080" s="133"/>
      <c r="GP1080" s="133"/>
      <c r="GQ1080" s="133"/>
      <c r="GR1080" s="133"/>
      <c r="GS1080" s="133"/>
      <c r="GT1080" s="133"/>
      <c r="GU1080" s="133"/>
      <c r="GV1080" s="133"/>
      <c r="GW1080" s="133"/>
      <c r="GX1080" s="133"/>
      <c r="GY1080" s="133"/>
      <c r="GZ1080" s="133"/>
      <c r="HA1080" s="133"/>
      <c r="HB1080" s="133"/>
      <c r="HC1080" s="133"/>
      <c r="HD1080" s="133"/>
      <c r="HE1080" s="133"/>
      <c r="HF1080" s="133"/>
      <c r="HG1080" s="133"/>
      <c r="HH1080" s="133"/>
      <c r="HI1080" s="133"/>
      <c r="HJ1080" s="133"/>
      <c r="HK1080" s="133"/>
      <c r="HL1080" s="133"/>
      <c r="HM1080" s="133"/>
      <c r="HN1080" s="133"/>
      <c r="HO1080" s="133"/>
      <c r="HP1080" s="133"/>
      <c r="HQ1080" s="133"/>
      <c r="HR1080" s="133"/>
      <c r="HS1080" s="133"/>
      <c r="HT1080" s="133"/>
      <c r="HU1080" s="133"/>
      <c r="HV1080" s="133"/>
      <c r="HW1080" s="133"/>
      <c r="HX1080" s="133"/>
      <c r="HY1080" s="133"/>
      <c r="HZ1080" s="133"/>
      <c r="IA1080" s="133"/>
      <c r="IB1080" s="133"/>
      <c r="IC1080" s="133"/>
      <c r="ID1080" s="133"/>
      <c r="IE1080" s="133"/>
      <c r="IF1080" s="133"/>
      <c r="IG1080" s="133"/>
      <c r="IH1080" s="133"/>
      <c r="II1080" s="133"/>
      <c r="IJ1080" s="133"/>
      <c r="IK1080" s="133"/>
      <c r="IL1080" s="133"/>
      <c r="IM1080" s="133"/>
      <c r="IN1080" s="133"/>
      <c r="IO1080" s="133"/>
      <c r="IP1080" s="133"/>
      <c r="IQ1080" s="133"/>
      <c r="IR1080" s="133"/>
      <c r="IS1080" s="133"/>
      <c r="IT1080" s="133"/>
      <c r="IU1080" s="133"/>
      <c r="IV1080" s="133"/>
    </row>
    <row r="1081" spans="1:256" s="132" customFormat="1" ht="13.8">
      <c r="A1081" s="133"/>
      <c r="B1081" s="133"/>
      <c r="C1081" s="133"/>
      <c r="D1081" s="133"/>
      <c r="E1081" s="133"/>
      <c r="F1081" s="133"/>
      <c r="G1081" s="133"/>
      <c r="H1081" s="133"/>
      <c r="I1081" s="133"/>
      <c r="J1081" s="133"/>
      <c r="K1081" s="133"/>
      <c r="L1081" s="133"/>
      <c r="M1081" s="133"/>
      <c r="N1081" s="133"/>
      <c r="O1081" s="133"/>
      <c r="P1081" s="133"/>
      <c r="GE1081" s="133"/>
      <c r="GF1081" s="133"/>
      <c r="GG1081" s="133"/>
      <c r="GH1081" s="133"/>
      <c r="GI1081" s="133"/>
      <c r="GJ1081" s="133"/>
      <c r="GK1081" s="133"/>
      <c r="GL1081" s="133"/>
      <c r="GM1081" s="133"/>
      <c r="GN1081" s="133"/>
      <c r="GO1081" s="133"/>
      <c r="GP1081" s="133"/>
      <c r="GQ1081" s="133"/>
      <c r="GR1081" s="133"/>
      <c r="GS1081" s="133"/>
      <c r="GT1081" s="133"/>
      <c r="GU1081" s="133"/>
      <c r="GV1081" s="133"/>
      <c r="GW1081" s="133"/>
      <c r="GX1081" s="133"/>
      <c r="GY1081" s="133"/>
      <c r="GZ1081" s="133"/>
      <c r="HA1081" s="133"/>
      <c r="HB1081" s="133"/>
      <c r="HC1081" s="133"/>
      <c r="HD1081" s="133"/>
      <c r="HE1081" s="133"/>
      <c r="HF1081" s="133"/>
      <c r="HG1081" s="133"/>
      <c r="HH1081" s="133"/>
      <c r="HI1081" s="133"/>
      <c r="HJ1081" s="133"/>
      <c r="HK1081" s="133"/>
      <c r="HL1081" s="133"/>
      <c r="HM1081" s="133"/>
      <c r="HN1081" s="133"/>
      <c r="HO1081" s="133"/>
      <c r="HP1081" s="133"/>
      <c r="HQ1081" s="133"/>
      <c r="HR1081" s="133"/>
      <c r="HS1081" s="133"/>
      <c r="HT1081" s="133"/>
      <c r="HU1081" s="133"/>
      <c r="HV1081" s="133"/>
      <c r="HW1081" s="133"/>
      <c r="HX1081" s="133"/>
      <c r="HY1081" s="133"/>
      <c r="HZ1081" s="133"/>
      <c r="IA1081" s="133"/>
      <c r="IB1081" s="133"/>
      <c r="IC1081" s="133"/>
      <c r="ID1081" s="133"/>
      <c r="IE1081" s="133"/>
      <c r="IF1081" s="133"/>
      <c r="IG1081" s="133"/>
      <c r="IH1081" s="133"/>
      <c r="II1081" s="133"/>
      <c r="IJ1081" s="133"/>
      <c r="IK1081" s="133"/>
      <c r="IL1081" s="133"/>
      <c r="IM1081" s="133"/>
      <c r="IN1081" s="133"/>
      <c r="IO1081" s="133"/>
      <c r="IP1081" s="133"/>
      <c r="IQ1081" s="133"/>
      <c r="IR1081" s="133"/>
      <c r="IS1081" s="133"/>
      <c r="IT1081" s="133"/>
      <c r="IU1081" s="133"/>
      <c r="IV1081" s="133"/>
    </row>
    <row r="1082" spans="1:256" s="132" customFormat="1" ht="13.8">
      <c r="A1082" s="133"/>
      <c r="B1082" s="133"/>
      <c r="C1082" s="133"/>
      <c r="D1082" s="133"/>
      <c r="E1082" s="133"/>
      <c r="F1082" s="133"/>
      <c r="G1082" s="133"/>
      <c r="H1082" s="133"/>
      <c r="I1082" s="133"/>
      <c r="J1082" s="133"/>
      <c r="K1082" s="133"/>
      <c r="L1082" s="133"/>
      <c r="M1082" s="133"/>
      <c r="N1082" s="133"/>
      <c r="O1082" s="133"/>
      <c r="P1082" s="133"/>
      <c r="GE1082" s="133"/>
      <c r="GF1082" s="133"/>
      <c r="GG1082" s="133"/>
      <c r="GH1082" s="133"/>
      <c r="GI1082" s="133"/>
      <c r="GJ1082" s="133"/>
      <c r="GK1082" s="133"/>
      <c r="GL1082" s="133"/>
      <c r="GM1082" s="133"/>
      <c r="GN1082" s="133"/>
      <c r="GO1082" s="133"/>
      <c r="GP1082" s="133"/>
      <c r="GQ1082" s="133"/>
      <c r="GR1082" s="133"/>
      <c r="GS1082" s="133"/>
      <c r="GT1082" s="133"/>
      <c r="GU1082" s="133"/>
      <c r="GV1082" s="133"/>
      <c r="GW1082" s="133"/>
      <c r="GX1082" s="133"/>
      <c r="GY1082" s="133"/>
      <c r="GZ1082" s="133"/>
      <c r="HA1082" s="133"/>
      <c r="HB1082" s="133"/>
      <c r="HC1082" s="133"/>
      <c r="HD1082" s="133"/>
      <c r="HE1082" s="133"/>
      <c r="HF1082" s="133"/>
      <c r="HG1082" s="133"/>
      <c r="HH1082" s="133"/>
      <c r="HI1082" s="133"/>
      <c r="HJ1082" s="133"/>
      <c r="HK1082" s="133"/>
      <c r="HL1082" s="133"/>
      <c r="HM1082" s="133"/>
      <c r="HN1082" s="133"/>
      <c r="HO1082" s="133"/>
      <c r="HP1082" s="133"/>
      <c r="HQ1082" s="133"/>
      <c r="HR1082" s="133"/>
      <c r="HS1082" s="133"/>
      <c r="HT1082" s="133"/>
      <c r="HU1082" s="133"/>
      <c r="HV1082" s="133"/>
      <c r="HW1082" s="133"/>
      <c r="HX1082" s="133"/>
      <c r="HY1082" s="133"/>
      <c r="HZ1082" s="133"/>
      <c r="IA1082" s="133"/>
      <c r="IB1082" s="133"/>
      <c r="IC1082" s="133"/>
      <c r="ID1082" s="133"/>
      <c r="IE1082" s="133"/>
      <c r="IF1082" s="133"/>
      <c r="IG1082" s="133"/>
      <c r="IH1082" s="133"/>
      <c r="II1082" s="133"/>
      <c r="IJ1082" s="133"/>
      <c r="IK1082" s="133"/>
      <c r="IL1082" s="133"/>
      <c r="IM1082" s="133"/>
      <c r="IN1082" s="133"/>
      <c r="IO1082" s="133"/>
      <c r="IP1082" s="133"/>
      <c r="IQ1082" s="133"/>
      <c r="IR1082" s="133"/>
      <c r="IS1082" s="133"/>
      <c r="IT1082" s="133"/>
      <c r="IU1082" s="133"/>
      <c r="IV1082" s="133"/>
    </row>
    <row r="1083" spans="1:256" s="132" customFormat="1" ht="13.8">
      <c r="A1083" s="133"/>
      <c r="B1083" s="133"/>
      <c r="C1083" s="133"/>
      <c r="D1083" s="133"/>
      <c r="E1083" s="133"/>
      <c r="F1083" s="133"/>
      <c r="G1083" s="133"/>
      <c r="H1083" s="133"/>
      <c r="I1083" s="133"/>
      <c r="J1083" s="133"/>
      <c r="K1083" s="133"/>
      <c r="L1083" s="133"/>
      <c r="M1083" s="133"/>
      <c r="N1083" s="133"/>
      <c r="O1083" s="133"/>
      <c r="P1083" s="133"/>
      <c r="GE1083" s="133"/>
      <c r="GF1083" s="133"/>
      <c r="GG1083" s="133"/>
      <c r="GH1083" s="133"/>
      <c r="GI1083" s="133"/>
      <c r="GJ1083" s="133"/>
      <c r="GK1083" s="133"/>
      <c r="GL1083" s="133"/>
      <c r="GM1083" s="133"/>
      <c r="GN1083" s="133"/>
      <c r="GO1083" s="133"/>
      <c r="GP1083" s="133"/>
      <c r="GQ1083" s="133"/>
      <c r="GR1083" s="133"/>
      <c r="GS1083" s="133"/>
      <c r="GT1083" s="133"/>
      <c r="GU1083" s="133"/>
      <c r="GV1083" s="133"/>
      <c r="GW1083" s="133"/>
      <c r="GX1083" s="133"/>
      <c r="GY1083" s="133"/>
      <c r="GZ1083" s="133"/>
      <c r="HA1083" s="133"/>
      <c r="HB1083" s="133"/>
      <c r="HC1083" s="133"/>
      <c r="HD1083" s="133"/>
      <c r="HE1083" s="133"/>
      <c r="HF1083" s="133"/>
      <c r="HG1083" s="133"/>
      <c r="HH1083" s="133"/>
      <c r="HI1083" s="133"/>
      <c r="HJ1083" s="133"/>
      <c r="HK1083" s="133"/>
      <c r="HL1083" s="133"/>
      <c r="HM1083" s="133"/>
      <c r="HN1083" s="133"/>
      <c r="HO1083" s="133"/>
      <c r="HP1083" s="133"/>
      <c r="HQ1083" s="133"/>
      <c r="HR1083" s="133"/>
      <c r="HS1083" s="133"/>
      <c r="HT1083" s="133"/>
      <c r="HU1083" s="133"/>
      <c r="HV1083" s="133"/>
      <c r="HW1083" s="133"/>
      <c r="HX1083" s="133"/>
      <c r="HY1083" s="133"/>
      <c r="HZ1083" s="133"/>
      <c r="IA1083" s="133"/>
      <c r="IB1083" s="133"/>
      <c r="IC1083" s="133"/>
      <c r="ID1083" s="133"/>
      <c r="IE1083" s="133"/>
      <c r="IF1083" s="133"/>
      <c r="IG1083" s="133"/>
      <c r="IH1083" s="133"/>
      <c r="II1083" s="133"/>
      <c r="IJ1083" s="133"/>
      <c r="IK1083" s="133"/>
      <c r="IL1083" s="133"/>
      <c r="IM1083" s="133"/>
      <c r="IN1083" s="133"/>
      <c r="IO1083" s="133"/>
      <c r="IP1083" s="133"/>
      <c r="IQ1083" s="133"/>
      <c r="IR1083" s="133"/>
      <c r="IS1083" s="133"/>
      <c r="IT1083" s="133"/>
      <c r="IU1083" s="133"/>
      <c r="IV1083" s="133"/>
    </row>
    <row r="1084" spans="1:256" s="132" customFormat="1" ht="13.8">
      <c r="A1084" s="133"/>
      <c r="B1084" s="133"/>
      <c r="C1084" s="133"/>
      <c r="D1084" s="133"/>
      <c r="E1084" s="133"/>
      <c r="F1084" s="133"/>
      <c r="G1084" s="133"/>
      <c r="H1084" s="133"/>
      <c r="I1084" s="133"/>
      <c r="J1084" s="133"/>
      <c r="K1084" s="133"/>
      <c r="L1084" s="133"/>
      <c r="M1084" s="133"/>
      <c r="N1084" s="133"/>
      <c r="O1084" s="133"/>
      <c r="P1084" s="133"/>
      <c r="GE1084" s="133"/>
      <c r="GF1084" s="133"/>
      <c r="GG1084" s="133"/>
      <c r="GH1084" s="133"/>
      <c r="GI1084" s="133"/>
      <c r="GJ1084" s="133"/>
      <c r="GK1084" s="133"/>
      <c r="GL1084" s="133"/>
      <c r="GM1084" s="133"/>
      <c r="GN1084" s="133"/>
      <c r="GO1084" s="133"/>
      <c r="GP1084" s="133"/>
      <c r="GQ1084" s="133"/>
      <c r="GR1084" s="133"/>
      <c r="GS1084" s="133"/>
      <c r="GT1084" s="133"/>
      <c r="GU1084" s="133"/>
      <c r="GV1084" s="133"/>
      <c r="GW1084" s="133"/>
      <c r="GX1084" s="133"/>
      <c r="GY1084" s="133"/>
      <c r="GZ1084" s="133"/>
      <c r="HA1084" s="133"/>
      <c r="HB1084" s="133"/>
      <c r="HC1084" s="133"/>
      <c r="HD1084" s="133"/>
      <c r="HE1084" s="133"/>
      <c r="HF1084" s="133"/>
      <c r="HG1084" s="133"/>
      <c r="HH1084" s="133"/>
      <c r="HI1084" s="133"/>
      <c r="HJ1084" s="133"/>
      <c r="HK1084" s="133"/>
      <c r="HL1084" s="133"/>
      <c r="HM1084" s="133"/>
      <c r="HN1084" s="133"/>
      <c r="HO1084" s="133"/>
      <c r="HP1084" s="133"/>
      <c r="HQ1084" s="133"/>
      <c r="HR1084" s="133"/>
      <c r="HS1084" s="133"/>
      <c r="HT1084" s="133"/>
      <c r="HU1084" s="133"/>
      <c r="HV1084" s="133"/>
      <c r="HW1084" s="133"/>
      <c r="HX1084" s="133"/>
      <c r="HY1084" s="133"/>
      <c r="HZ1084" s="133"/>
      <c r="IA1084" s="133"/>
      <c r="IB1084" s="133"/>
      <c r="IC1084" s="133"/>
      <c r="ID1084" s="133"/>
      <c r="IE1084" s="133"/>
      <c r="IF1084" s="133"/>
      <c r="IG1084" s="133"/>
      <c r="IH1084" s="133"/>
      <c r="II1084" s="133"/>
      <c r="IJ1084" s="133"/>
      <c r="IK1084" s="133"/>
      <c r="IL1084" s="133"/>
      <c r="IM1084" s="133"/>
      <c r="IN1084" s="133"/>
      <c r="IO1084" s="133"/>
      <c r="IP1084" s="133"/>
      <c r="IQ1084" s="133"/>
      <c r="IR1084" s="133"/>
      <c r="IS1084" s="133"/>
      <c r="IT1084" s="133"/>
      <c r="IU1084" s="133"/>
      <c r="IV1084" s="133"/>
    </row>
    <row r="1085" spans="1:256" s="132" customFormat="1" ht="13.8">
      <c r="A1085" s="133"/>
      <c r="B1085" s="133"/>
      <c r="C1085" s="133"/>
      <c r="D1085" s="133"/>
      <c r="E1085" s="133"/>
      <c r="F1085" s="133"/>
      <c r="G1085" s="133"/>
      <c r="H1085" s="133"/>
      <c r="I1085" s="133"/>
      <c r="J1085" s="133"/>
      <c r="K1085" s="133"/>
      <c r="L1085" s="133"/>
      <c r="M1085" s="133"/>
      <c r="N1085" s="133"/>
      <c r="O1085" s="133"/>
      <c r="P1085" s="133"/>
      <c r="GE1085" s="133"/>
      <c r="GF1085" s="133"/>
      <c r="GG1085" s="133"/>
      <c r="GH1085" s="133"/>
      <c r="GI1085" s="133"/>
      <c r="GJ1085" s="133"/>
      <c r="GK1085" s="133"/>
      <c r="GL1085" s="133"/>
      <c r="GM1085" s="133"/>
      <c r="GN1085" s="133"/>
      <c r="GO1085" s="133"/>
      <c r="GP1085" s="133"/>
      <c r="GQ1085" s="133"/>
      <c r="GR1085" s="133"/>
      <c r="GS1085" s="133"/>
      <c r="GT1085" s="133"/>
      <c r="GU1085" s="133"/>
      <c r="GV1085" s="133"/>
      <c r="GW1085" s="133"/>
      <c r="GX1085" s="133"/>
      <c r="GY1085" s="133"/>
      <c r="GZ1085" s="133"/>
      <c r="HA1085" s="133"/>
      <c r="HB1085" s="133"/>
      <c r="HC1085" s="133"/>
      <c r="HD1085" s="133"/>
      <c r="HE1085" s="133"/>
      <c r="HF1085" s="133"/>
      <c r="HG1085" s="133"/>
      <c r="HH1085" s="133"/>
      <c r="HI1085" s="133"/>
      <c r="HJ1085" s="133"/>
      <c r="HK1085" s="133"/>
      <c r="HL1085" s="133"/>
      <c r="HM1085" s="133"/>
      <c r="HN1085" s="133"/>
      <c r="HO1085" s="133"/>
      <c r="HP1085" s="133"/>
      <c r="HQ1085" s="133"/>
      <c r="HR1085" s="133"/>
      <c r="HS1085" s="133"/>
      <c r="HT1085" s="133"/>
      <c r="HU1085" s="133"/>
      <c r="HV1085" s="133"/>
      <c r="HW1085" s="133"/>
      <c r="HX1085" s="133"/>
      <c r="HY1085" s="133"/>
      <c r="HZ1085" s="133"/>
      <c r="IA1085" s="133"/>
      <c r="IB1085" s="133"/>
      <c r="IC1085" s="133"/>
      <c r="ID1085" s="133"/>
      <c r="IE1085" s="133"/>
      <c r="IF1085" s="133"/>
      <c r="IG1085" s="133"/>
      <c r="IH1085" s="133"/>
      <c r="II1085" s="133"/>
      <c r="IJ1085" s="133"/>
      <c r="IK1085" s="133"/>
      <c r="IL1085" s="133"/>
      <c r="IM1085" s="133"/>
      <c r="IN1085" s="133"/>
      <c r="IO1085" s="133"/>
      <c r="IP1085" s="133"/>
      <c r="IQ1085" s="133"/>
      <c r="IR1085" s="133"/>
      <c r="IS1085" s="133"/>
      <c r="IT1085" s="133"/>
      <c r="IU1085" s="133"/>
      <c r="IV1085" s="133"/>
    </row>
    <row r="1086" spans="1:256" s="132" customFormat="1" ht="13.8">
      <c r="A1086" s="133"/>
      <c r="B1086" s="133"/>
      <c r="C1086" s="133"/>
      <c r="D1086" s="133"/>
      <c r="E1086" s="133"/>
      <c r="F1086" s="133"/>
      <c r="G1086" s="133"/>
      <c r="H1086" s="133"/>
      <c r="I1086" s="133"/>
      <c r="J1086" s="133"/>
      <c r="K1086" s="133"/>
      <c r="L1086" s="133"/>
      <c r="M1086" s="133"/>
      <c r="N1086" s="133"/>
      <c r="O1086" s="133"/>
      <c r="P1086" s="133"/>
      <c r="GE1086" s="133"/>
      <c r="GF1086" s="133"/>
      <c r="GG1086" s="133"/>
      <c r="GH1086" s="133"/>
      <c r="GI1086" s="133"/>
      <c r="GJ1086" s="133"/>
      <c r="GK1086" s="133"/>
      <c r="GL1086" s="133"/>
      <c r="GM1086" s="133"/>
      <c r="GN1086" s="133"/>
      <c r="GO1086" s="133"/>
      <c r="GP1086" s="133"/>
      <c r="GQ1086" s="133"/>
      <c r="GR1086" s="133"/>
      <c r="GS1086" s="133"/>
      <c r="GT1086" s="133"/>
      <c r="GU1086" s="133"/>
      <c r="GV1086" s="133"/>
      <c r="GW1086" s="133"/>
      <c r="GX1086" s="133"/>
      <c r="GY1086" s="133"/>
      <c r="GZ1086" s="133"/>
      <c r="HA1086" s="133"/>
      <c r="HB1086" s="133"/>
      <c r="HC1086" s="133"/>
      <c r="HD1086" s="133"/>
      <c r="HE1086" s="133"/>
      <c r="HF1086" s="133"/>
      <c r="HG1086" s="133"/>
      <c r="HH1086" s="133"/>
      <c r="HI1086" s="133"/>
      <c r="HJ1086" s="133"/>
      <c r="HK1086" s="133"/>
      <c r="HL1086" s="133"/>
      <c r="HM1086" s="133"/>
      <c r="HN1086" s="133"/>
      <c r="HO1086" s="133"/>
      <c r="HP1086" s="133"/>
      <c r="HQ1086" s="133"/>
      <c r="HR1086" s="133"/>
      <c r="HS1086" s="133"/>
      <c r="HT1086" s="133"/>
      <c r="HU1086" s="133"/>
      <c r="HV1086" s="133"/>
      <c r="HW1086" s="133"/>
      <c r="HX1086" s="133"/>
      <c r="HY1086" s="133"/>
      <c r="HZ1086" s="133"/>
      <c r="IA1086" s="133"/>
      <c r="IB1086" s="133"/>
      <c r="IC1086" s="133"/>
      <c r="ID1086" s="133"/>
      <c r="IE1086" s="133"/>
      <c r="IF1086" s="133"/>
      <c r="IG1086" s="133"/>
      <c r="IH1086" s="133"/>
      <c r="II1086" s="133"/>
      <c r="IJ1086" s="133"/>
      <c r="IK1086" s="133"/>
      <c r="IL1086" s="133"/>
      <c r="IM1086" s="133"/>
      <c r="IN1086" s="133"/>
      <c r="IO1086" s="133"/>
      <c r="IP1086" s="133"/>
      <c r="IQ1086" s="133"/>
      <c r="IR1086" s="133"/>
      <c r="IS1086" s="133"/>
      <c r="IT1086" s="133"/>
      <c r="IU1086" s="133"/>
      <c r="IV1086" s="133"/>
    </row>
    <row r="1087" spans="1:256" s="132" customFormat="1" ht="13.8">
      <c r="A1087" s="133"/>
      <c r="B1087" s="133"/>
      <c r="C1087" s="133"/>
      <c r="D1087" s="133"/>
      <c r="E1087" s="133"/>
      <c r="F1087" s="133"/>
      <c r="G1087" s="133"/>
      <c r="H1087" s="133"/>
      <c r="I1087" s="133"/>
      <c r="J1087" s="133"/>
      <c r="K1087" s="133"/>
      <c r="L1087" s="133"/>
      <c r="M1087" s="133"/>
      <c r="N1087" s="133"/>
      <c r="O1087" s="133"/>
      <c r="P1087" s="133"/>
      <c r="GE1087" s="133"/>
      <c r="GF1087" s="133"/>
      <c r="GG1087" s="133"/>
      <c r="GH1087" s="133"/>
      <c r="GI1087" s="133"/>
      <c r="GJ1087" s="133"/>
      <c r="GK1087" s="133"/>
      <c r="GL1087" s="133"/>
      <c r="GM1087" s="133"/>
      <c r="GN1087" s="133"/>
      <c r="GO1087" s="133"/>
      <c r="GP1087" s="133"/>
      <c r="GQ1087" s="133"/>
      <c r="GR1087" s="133"/>
      <c r="GS1087" s="133"/>
      <c r="GT1087" s="133"/>
      <c r="GU1087" s="133"/>
      <c r="GV1087" s="133"/>
      <c r="GW1087" s="133"/>
      <c r="GX1087" s="133"/>
      <c r="GY1087" s="133"/>
      <c r="GZ1087" s="133"/>
      <c r="HA1087" s="133"/>
      <c r="HB1087" s="133"/>
      <c r="HC1087" s="133"/>
      <c r="HD1087" s="133"/>
      <c r="HE1087" s="133"/>
      <c r="HF1087" s="133"/>
      <c r="HG1087" s="133"/>
      <c r="HH1087" s="133"/>
      <c r="HI1087" s="133"/>
      <c r="HJ1087" s="133"/>
      <c r="HK1087" s="133"/>
      <c r="HL1087" s="133"/>
      <c r="HM1087" s="133"/>
      <c r="HN1087" s="133"/>
      <c r="HO1087" s="133"/>
      <c r="HP1087" s="133"/>
      <c r="HQ1087" s="133"/>
      <c r="HR1087" s="133"/>
      <c r="HS1087" s="133"/>
      <c r="HT1087" s="133"/>
      <c r="HU1087" s="133"/>
      <c r="HV1087" s="133"/>
      <c r="HW1087" s="133"/>
      <c r="HX1087" s="133"/>
      <c r="HY1087" s="133"/>
      <c r="HZ1087" s="133"/>
      <c r="IA1087" s="133"/>
      <c r="IB1087" s="133"/>
      <c r="IC1087" s="133"/>
      <c r="ID1087" s="133"/>
      <c r="IE1087" s="133"/>
      <c r="IF1087" s="133"/>
      <c r="IG1087" s="133"/>
      <c r="IH1087" s="133"/>
      <c r="II1087" s="133"/>
      <c r="IJ1087" s="133"/>
      <c r="IK1087" s="133"/>
      <c r="IL1087" s="133"/>
      <c r="IM1087" s="133"/>
      <c r="IN1087" s="133"/>
      <c r="IO1087" s="133"/>
      <c r="IP1087" s="133"/>
      <c r="IQ1087" s="133"/>
      <c r="IR1087" s="133"/>
      <c r="IS1087" s="133"/>
      <c r="IT1087" s="133"/>
      <c r="IU1087" s="133"/>
      <c r="IV1087" s="133"/>
    </row>
    <row r="1088" spans="1:256" s="132" customFormat="1" ht="13.8">
      <c r="A1088" s="133"/>
      <c r="B1088" s="133"/>
      <c r="C1088" s="133"/>
      <c r="D1088" s="133"/>
      <c r="E1088" s="133"/>
      <c r="F1088" s="133"/>
      <c r="G1088" s="133"/>
      <c r="H1088" s="133"/>
      <c r="I1088" s="133"/>
      <c r="J1088" s="133"/>
      <c r="K1088" s="133"/>
      <c r="L1088" s="133"/>
      <c r="M1088" s="133"/>
      <c r="N1088" s="133"/>
      <c r="O1088" s="133"/>
      <c r="P1088" s="133"/>
      <c r="GE1088" s="133"/>
      <c r="GF1088" s="133"/>
      <c r="GG1088" s="133"/>
      <c r="GH1088" s="133"/>
      <c r="GI1088" s="133"/>
      <c r="GJ1088" s="133"/>
      <c r="GK1088" s="133"/>
      <c r="GL1088" s="133"/>
      <c r="GM1088" s="133"/>
      <c r="GN1088" s="133"/>
      <c r="GO1088" s="133"/>
      <c r="GP1088" s="133"/>
      <c r="GQ1088" s="133"/>
      <c r="GR1088" s="133"/>
      <c r="GS1088" s="133"/>
      <c r="GT1088" s="133"/>
      <c r="GU1088" s="133"/>
      <c r="GV1088" s="133"/>
      <c r="GW1088" s="133"/>
      <c r="GX1088" s="133"/>
      <c r="GY1088" s="133"/>
      <c r="GZ1088" s="133"/>
      <c r="HA1088" s="133"/>
      <c r="HB1088" s="133"/>
      <c r="HC1088" s="133"/>
      <c r="HD1088" s="133"/>
      <c r="HE1088" s="133"/>
      <c r="HF1088" s="133"/>
      <c r="HG1088" s="133"/>
      <c r="HH1088" s="133"/>
      <c r="HI1088" s="133"/>
      <c r="HJ1088" s="133"/>
      <c r="HK1088" s="133"/>
      <c r="HL1088" s="133"/>
      <c r="HM1088" s="133"/>
      <c r="HN1088" s="133"/>
      <c r="HO1088" s="133"/>
      <c r="HP1088" s="133"/>
      <c r="HQ1088" s="133"/>
      <c r="HR1088" s="133"/>
      <c r="HS1088" s="133"/>
      <c r="HT1088" s="133"/>
      <c r="HU1088" s="133"/>
      <c r="HV1088" s="133"/>
      <c r="HW1088" s="133"/>
      <c r="HX1088" s="133"/>
      <c r="HY1088" s="133"/>
      <c r="HZ1088" s="133"/>
      <c r="IA1088" s="133"/>
      <c r="IB1088" s="133"/>
      <c r="IC1088" s="133"/>
      <c r="ID1088" s="133"/>
      <c r="IE1088" s="133"/>
      <c r="IF1088" s="133"/>
      <c r="IG1088" s="133"/>
      <c r="IH1088" s="133"/>
      <c r="II1088" s="133"/>
      <c r="IJ1088" s="133"/>
      <c r="IK1088" s="133"/>
      <c r="IL1088" s="133"/>
      <c r="IM1088" s="133"/>
      <c r="IN1088" s="133"/>
      <c r="IO1088" s="133"/>
      <c r="IP1088" s="133"/>
      <c r="IQ1088" s="133"/>
      <c r="IR1088" s="133"/>
      <c r="IS1088" s="133"/>
      <c r="IT1088" s="133"/>
      <c r="IU1088" s="133"/>
      <c r="IV1088" s="133"/>
    </row>
    <row r="1089" spans="1:256" s="132" customFormat="1" ht="13.8">
      <c r="A1089" s="133"/>
      <c r="B1089" s="133"/>
      <c r="C1089" s="133"/>
      <c r="D1089" s="133"/>
      <c r="E1089" s="133"/>
      <c r="F1089" s="133"/>
      <c r="G1089" s="133"/>
      <c r="H1089" s="133"/>
      <c r="I1089" s="133"/>
      <c r="J1089" s="133"/>
      <c r="K1089" s="133"/>
      <c r="L1089" s="133"/>
      <c r="M1089" s="133"/>
      <c r="N1089" s="133"/>
      <c r="O1089" s="133"/>
      <c r="P1089" s="133"/>
      <c r="GE1089" s="133"/>
      <c r="GF1089" s="133"/>
      <c r="GG1089" s="133"/>
      <c r="GH1089" s="133"/>
      <c r="GI1089" s="133"/>
      <c r="GJ1089" s="133"/>
      <c r="GK1089" s="133"/>
      <c r="GL1089" s="133"/>
      <c r="GM1089" s="133"/>
      <c r="GN1089" s="133"/>
      <c r="GO1089" s="133"/>
      <c r="GP1089" s="133"/>
      <c r="GQ1089" s="133"/>
      <c r="GR1089" s="133"/>
      <c r="GS1089" s="133"/>
      <c r="GT1089" s="133"/>
      <c r="GU1089" s="133"/>
      <c r="GV1089" s="133"/>
      <c r="GW1089" s="133"/>
      <c r="GX1089" s="133"/>
      <c r="GY1089" s="133"/>
      <c r="GZ1089" s="133"/>
      <c r="HA1089" s="133"/>
      <c r="HB1089" s="133"/>
      <c r="HC1089" s="133"/>
      <c r="HD1089" s="133"/>
      <c r="HE1089" s="133"/>
      <c r="HF1089" s="133"/>
      <c r="HG1089" s="133"/>
      <c r="HH1089" s="133"/>
      <c r="HI1089" s="133"/>
      <c r="HJ1089" s="133"/>
      <c r="HK1089" s="133"/>
      <c r="HL1089" s="133"/>
      <c r="HM1089" s="133"/>
      <c r="HN1089" s="133"/>
      <c r="HO1089" s="133"/>
      <c r="HP1089" s="133"/>
      <c r="HQ1089" s="133"/>
      <c r="HR1089" s="133"/>
      <c r="HS1089" s="133"/>
      <c r="HT1089" s="133"/>
      <c r="HU1089" s="133"/>
      <c r="HV1089" s="133"/>
      <c r="HW1089" s="133"/>
      <c r="HX1089" s="133"/>
      <c r="HY1089" s="133"/>
      <c r="HZ1089" s="133"/>
      <c r="IA1089" s="133"/>
      <c r="IB1089" s="133"/>
      <c r="IC1089" s="133"/>
      <c r="ID1089" s="133"/>
      <c r="IE1089" s="133"/>
      <c r="IF1089" s="133"/>
      <c r="IG1089" s="133"/>
      <c r="IH1089" s="133"/>
      <c r="II1089" s="133"/>
      <c r="IJ1089" s="133"/>
      <c r="IK1089" s="133"/>
      <c r="IL1089" s="133"/>
      <c r="IM1089" s="133"/>
      <c r="IN1089" s="133"/>
      <c r="IO1089" s="133"/>
      <c r="IP1089" s="133"/>
      <c r="IQ1089" s="133"/>
      <c r="IR1089" s="133"/>
      <c r="IS1089" s="133"/>
      <c r="IT1089" s="133"/>
      <c r="IU1089" s="133"/>
      <c r="IV1089" s="133"/>
    </row>
    <row r="1090" spans="1:256" s="132" customFormat="1" ht="13.8">
      <c r="A1090" s="133"/>
      <c r="B1090" s="133"/>
      <c r="C1090" s="133"/>
      <c r="D1090" s="133"/>
      <c r="E1090" s="133"/>
      <c r="F1090" s="133"/>
      <c r="G1090" s="133"/>
      <c r="H1090" s="133"/>
      <c r="I1090" s="133"/>
      <c r="J1090" s="133"/>
      <c r="K1090" s="133"/>
      <c r="L1090" s="133"/>
      <c r="M1090" s="133"/>
      <c r="N1090" s="133"/>
      <c r="O1090" s="133"/>
      <c r="P1090" s="133"/>
      <c r="GE1090" s="133"/>
      <c r="GF1090" s="133"/>
      <c r="GG1090" s="133"/>
      <c r="GH1090" s="133"/>
      <c r="GI1090" s="133"/>
      <c r="GJ1090" s="133"/>
      <c r="GK1090" s="133"/>
      <c r="GL1090" s="133"/>
      <c r="GM1090" s="133"/>
      <c r="GN1090" s="133"/>
      <c r="GO1090" s="133"/>
      <c r="GP1090" s="133"/>
      <c r="GQ1090" s="133"/>
      <c r="GR1090" s="133"/>
      <c r="GS1090" s="133"/>
      <c r="GT1090" s="133"/>
      <c r="GU1090" s="133"/>
      <c r="GV1090" s="133"/>
      <c r="GW1090" s="133"/>
      <c r="GX1090" s="133"/>
      <c r="GY1090" s="133"/>
      <c r="GZ1090" s="133"/>
      <c r="HA1090" s="133"/>
      <c r="HB1090" s="133"/>
      <c r="HC1090" s="133"/>
      <c r="HD1090" s="133"/>
      <c r="HE1090" s="133"/>
      <c r="HF1090" s="133"/>
      <c r="HG1090" s="133"/>
      <c r="HH1090" s="133"/>
      <c r="HI1090" s="133"/>
      <c r="HJ1090" s="133"/>
      <c r="HK1090" s="133"/>
      <c r="HL1090" s="133"/>
      <c r="HM1090" s="133"/>
      <c r="HN1090" s="133"/>
      <c r="HO1090" s="133"/>
      <c r="HP1090" s="133"/>
      <c r="HQ1090" s="133"/>
      <c r="HR1090" s="133"/>
      <c r="HS1090" s="133"/>
      <c r="HT1090" s="133"/>
      <c r="HU1090" s="133"/>
      <c r="HV1090" s="133"/>
      <c r="HW1090" s="133"/>
      <c r="HX1090" s="133"/>
      <c r="HY1090" s="133"/>
      <c r="HZ1090" s="133"/>
      <c r="IA1090" s="133"/>
      <c r="IB1090" s="133"/>
      <c r="IC1090" s="133"/>
      <c r="ID1090" s="133"/>
      <c r="IE1090" s="133"/>
      <c r="IF1090" s="133"/>
      <c r="IG1090" s="133"/>
      <c r="IH1090" s="133"/>
      <c r="II1090" s="133"/>
      <c r="IJ1090" s="133"/>
      <c r="IK1090" s="133"/>
      <c r="IL1090" s="133"/>
      <c r="IM1090" s="133"/>
      <c r="IN1090" s="133"/>
      <c r="IO1090" s="133"/>
      <c r="IP1090" s="133"/>
      <c r="IQ1090" s="133"/>
      <c r="IR1090" s="133"/>
      <c r="IS1090" s="133"/>
      <c r="IT1090" s="133"/>
      <c r="IU1090" s="133"/>
      <c r="IV1090" s="133"/>
    </row>
    <row r="1091" spans="1:256" s="132" customFormat="1" ht="13.8">
      <c r="A1091" s="133"/>
      <c r="B1091" s="133"/>
      <c r="C1091" s="133"/>
      <c r="D1091" s="133"/>
      <c r="E1091" s="133"/>
      <c r="F1091" s="133"/>
      <c r="G1091" s="133"/>
      <c r="H1091" s="133"/>
      <c r="I1091" s="133"/>
      <c r="J1091" s="133"/>
      <c r="K1091" s="133"/>
      <c r="L1091" s="133"/>
      <c r="M1091" s="133"/>
      <c r="N1091" s="133"/>
      <c r="O1091" s="133"/>
      <c r="P1091" s="133"/>
      <c r="GE1091" s="133"/>
      <c r="GF1091" s="133"/>
      <c r="GG1091" s="133"/>
      <c r="GH1091" s="133"/>
      <c r="GI1091" s="133"/>
      <c r="GJ1091" s="133"/>
      <c r="GK1091" s="133"/>
      <c r="GL1091" s="133"/>
      <c r="GM1091" s="133"/>
      <c r="GN1091" s="133"/>
      <c r="GO1091" s="133"/>
      <c r="GP1091" s="133"/>
      <c r="GQ1091" s="133"/>
      <c r="GR1091" s="133"/>
      <c r="GS1091" s="133"/>
      <c r="GT1091" s="133"/>
      <c r="GU1091" s="133"/>
      <c r="GV1091" s="133"/>
      <c r="GW1091" s="133"/>
      <c r="GX1091" s="133"/>
      <c r="GY1091" s="133"/>
      <c r="GZ1091" s="133"/>
      <c r="HA1091" s="133"/>
      <c r="HB1091" s="133"/>
      <c r="HC1091" s="133"/>
      <c r="HD1091" s="133"/>
      <c r="HE1091" s="133"/>
      <c r="HF1091" s="133"/>
      <c r="HG1091" s="133"/>
      <c r="HH1091" s="133"/>
      <c r="HI1091" s="133"/>
      <c r="HJ1091" s="133"/>
      <c r="HK1091" s="133"/>
      <c r="HL1091" s="133"/>
      <c r="HM1091" s="133"/>
      <c r="HN1091" s="133"/>
      <c r="HO1091" s="133"/>
      <c r="HP1091" s="133"/>
      <c r="HQ1091" s="133"/>
      <c r="HR1091" s="133"/>
      <c r="HS1091" s="133"/>
      <c r="HT1091" s="133"/>
      <c r="HU1091" s="133"/>
      <c r="HV1091" s="133"/>
      <c r="HW1091" s="133"/>
      <c r="HX1091" s="133"/>
      <c r="HY1091" s="133"/>
      <c r="HZ1091" s="133"/>
      <c r="IA1091" s="133"/>
      <c r="IB1091" s="133"/>
      <c r="IC1091" s="133"/>
      <c r="ID1091" s="133"/>
      <c r="IE1091" s="133"/>
      <c r="IF1091" s="133"/>
      <c r="IG1091" s="133"/>
      <c r="IH1091" s="133"/>
      <c r="II1091" s="133"/>
      <c r="IJ1091" s="133"/>
      <c r="IK1091" s="133"/>
      <c r="IL1091" s="133"/>
      <c r="IM1091" s="133"/>
      <c r="IN1091" s="133"/>
      <c r="IO1091" s="133"/>
      <c r="IP1091" s="133"/>
      <c r="IQ1091" s="133"/>
      <c r="IR1091" s="133"/>
      <c r="IS1091" s="133"/>
      <c r="IT1091" s="133"/>
      <c r="IU1091" s="133"/>
      <c r="IV1091" s="133"/>
    </row>
    <row r="1092" spans="1:256" s="132" customFormat="1" ht="13.8">
      <c r="A1092" s="133"/>
      <c r="B1092" s="133"/>
      <c r="C1092" s="133"/>
      <c r="D1092" s="133"/>
      <c r="E1092" s="133"/>
      <c r="F1092" s="133"/>
      <c r="G1092" s="133"/>
      <c r="H1092" s="133"/>
      <c r="I1092" s="133"/>
      <c r="J1092" s="133"/>
      <c r="K1092" s="133"/>
      <c r="L1092" s="133"/>
      <c r="M1092" s="133"/>
      <c r="N1092" s="133"/>
      <c r="O1092" s="133"/>
      <c r="P1092" s="133"/>
      <c r="GE1092" s="133"/>
      <c r="GF1092" s="133"/>
      <c r="GG1092" s="133"/>
      <c r="GH1092" s="133"/>
      <c r="GI1092" s="133"/>
      <c r="GJ1092" s="133"/>
      <c r="GK1092" s="133"/>
      <c r="GL1092" s="133"/>
      <c r="GM1092" s="133"/>
      <c r="GN1092" s="133"/>
      <c r="GO1092" s="133"/>
      <c r="GP1092" s="133"/>
      <c r="GQ1092" s="133"/>
      <c r="GR1092" s="133"/>
      <c r="GS1092" s="133"/>
      <c r="GT1092" s="133"/>
      <c r="GU1092" s="133"/>
      <c r="GV1092" s="133"/>
      <c r="GW1092" s="133"/>
      <c r="GX1092" s="133"/>
      <c r="GY1092" s="133"/>
      <c r="GZ1092" s="133"/>
      <c r="HA1092" s="133"/>
      <c r="HB1092" s="133"/>
      <c r="HC1092" s="133"/>
      <c r="HD1092" s="133"/>
      <c r="HE1092" s="133"/>
      <c r="HF1092" s="133"/>
      <c r="HG1092" s="133"/>
      <c r="HH1092" s="133"/>
      <c r="HI1092" s="133"/>
      <c r="HJ1092" s="133"/>
      <c r="HK1092" s="133"/>
      <c r="HL1092" s="133"/>
      <c r="HM1092" s="133"/>
      <c r="HN1092" s="133"/>
      <c r="HO1092" s="133"/>
      <c r="HP1092" s="133"/>
      <c r="HQ1092" s="133"/>
      <c r="HR1092" s="133"/>
      <c r="HS1092" s="133"/>
      <c r="HT1092" s="133"/>
      <c r="HU1092" s="133"/>
      <c r="HV1092" s="133"/>
      <c r="HW1092" s="133"/>
      <c r="HX1092" s="133"/>
      <c r="HY1092" s="133"/>
      <c r="HZ1092" s="133"/>
      <c r="IA1092" s="133"/>
      <c r="IB1092" s="133"/>
      <c r="IC1092" s="133"/>
      <c r="ID1092" s="133"/>
      <c r="IE1092" s="133"/>
      <c r="IF1092" s="133"/>
      <c r="IG1092" s="133"/>
      <c r="IH1092" s="133"/>
      <c r="II1092" s="133"/>
      <c r="IJ1092" s="133"/>
      <c r="IK1092" s="133"/>
      <c r="IL1092" s="133"/>
      <c r="IM1092" s="133"/>
      <c r="IN1092" s="133"/>
      <c r="IO1092" s="133"/>
      <c r="IP1092" s="133"/>
      <c r="IQ1092" s="133"/>
      <c r="IR1092" s="133"/>
      <c r="IS1092" s="133"/>
      <c r="IT1092" s="133"/>
      <c r="IU1092" s="133"/>
      <c r="IV1092" s="133"/>
    </row>
    <row r="1093" spans="1:256" s="132" customFormat="1" ht="13.8">
      <c r="A1093" s="133"/>
      <c r="B1093" s="133"/>
      <c r="C1093" s="133"/>
      <c r="D1093" s="133"/>
      <c r="E1093" s="133"/>
      <c r="F1093" s="133"/>
      <c r="G1093" s="133"/>
      <c r="H1093" s="133"/>
      <c r="I1093" s="133"/>
      <c r="J1093" s="133"/>
      <c r="K1093" s="133"/>
      <c r="L1093" s="133"/>
      <c r="M1093" s="133"/>
      <c r="N1093" s="133"/>
      <c r="O1093" s="133"/>
      <c r="P1093" s="133"/>
      <c r="GE1093" s="133"/>
      <c r="GF1093" s="133"/>
      <c r="GG1093" s="133"/>
      <c r="GH1093" s="133"/>
      <c r="GI1093" s="133"/>
      <c r="GJ1093" s="133"/>
      <c r="GK1093" s="133"/>
      <c r="GL1093" s="133"/>
      <c r="GM1093" s="133"/>
      <c r="GN1093" s="133"/>
      <c r="GO1093" s="133"/>
      <c r="GP1093" s="133"/>
      <c r="GQ1093" s="133"/>
      <c r="GR1093" s="133"/>
      <c r="GS1093" s="133"/>
      <c r="GT1093" s="133"/>
      <c r="GU1093" s="133"/>
      <c r="GV1093" s="133"/>
      <c r="GW1093" s="133"/>
      <c r="GX1093" s="133"/>
      <c r="GY1093" s="133"/>
      <c r="GZ1093" s="133"/>
      <c r="HA1093" s="133"/>
      <c r="HB1093" s="133"/>
      <c r="HC1093" s="133"/>
      <c r="HD1093" s="133"/>
      <c r="HE1093" s="133"/>
      <c r="HF1093" s="133"/>
      <c r="HG1093" s="133"/>
      <c r="HH1093" s="133"/>
      <c r="HI1093" s="133"/>
      <c r="HJ1093" s="133"/>
      <c r="HK1093" s="133"/>
      <c r="HL1093" s="133"/>
      <c r="HM1093" s="133"/>
      <c r="HN1093" s="133"/>
      <c r="HO1093" s="133"/>
      <c r="HP1093" s="133"/>
      <c r="HQ1093" s="133"/>
      <c r="HR1093" s="133"/>
      <c r="HS1093" s="133"/>
      <c r="HT1093" s="133"/>
      <c r="HU1093" s="133"/>
      <c r="HV1093" s="133"/>
      <c r="HW1093" s="133"/>
      <c r="HX1093" s="133"/>
      <c r="HY1093" s="133"/>
      <c r="HZ1093" s="133"/>
      <c r="IA1093" s="133"/>
      <c r="IB1093" s="133"/>
      <c r="IC1093" s="133"/>
      <c r="ID1093" s="133"/>
      <c r="IE1093" s="133"/>
      <c r="IF1093" s="133"/>
      <c r="IG1093" s="133"/>
      <c r="IH1093" s="133"/>
      <c r="II1093" s="133"/>
      <c r="IJ1093" s="133"/>
      <c r="IK1093" s="133"/>
      <c r="IL1093" s="133"/>
      <c r="IM1093" s="133"/>
      <c r="IN1093" s="133"/>
      <c r="IO1093" s="133"/>
      <c r="IP1093" s="133"/>
      <c r="IQ1093" s="133"/>
      <c r="IR1093" s="133"/>
      <c r="IS1093" s="133"/>
      <c r="IT1093" s="133"/>
      <c r="IU1093" s="133"/>
      <c r="IV1093" s="133"/>
    </row>
    <row r="1094" spans="1:256" s="132" customFormat="1" ht="13.8">
      <c r="A1094" s="133"/>
      <c r="B1094" s="133"/>
      <c r="C1094" s="133"/>
      <c r="D1094" s="133"/>
      <c r="E1094" s="133"/>
      <c r="F1094" s="133"/>
      <c r="G1094" s="133"/>
      <c r="H1094" s="133"/>
      <c r="I1094" s="133"/>
      <c r="J1094" s="133"/>
      <c r="K1094" s="133"/>
      <c r="L1094" s="133"/>
      <c r="M1094" s="133"/>
      <c r="N1094" s="133"/>
      <c r="O1094" s="133"/>
      <c r="P1094" s="133"/>
      <c r="GE1094" s="133"/>
      <c r="GF1094" s="133"/>
      <c r="GG1094" s="133"/>
      <c r="GH1094" s="133"/>
      <c r="GI1094" s="133"/>
      <c r="GJ1094" s="133"/>
      <c r="GK1094" s="133"/>
      <c r="GL1094" s="133"/>
      <c r="GM1094" s="133"/>
      <c r="GN1094" s="133"/>
      <c r="GO1094" s="133"/>
      <c r="GP1094" s="133"/>
      <c r="GQ1094" s="133"/>
      <c r="GR1094" s="133"/>
      <c r="GS1094" s="133"/>
      <c r="GT1094" s="133"/>
      <c r="GU1094" s="133"/>
      <c r="GV1094" s="133"/>
      <c r="GW1094" s="133"/>
      <c r="GX1094" s="133"/>
      <c r="GY1094" s="133"/>
      <c r="GZ1094" s="133"/>
      <c r="HA1094" s="133"/>
      <c r="HB1094" s="133"/>
      <c r="HC1094" s="133"/>
      <c r="HD1094" s="133"/>
      <c r="HE1094" s="133"/>
      <c r="HF1094" s="133"/>
      <c r="HG1094" s="133"/>
      <c r="HH1094" s="133"/>
      <c r="HI1094" s="133"/>
      <c r="HJ1094" s="133"/>
      <c r="HK1094" s="133"/>
      <c r="HL1094" s="133"/>
      <c r="HM1094" s="133"/>
      <c r="HN1094" s="133"/>
      <c r="HO1094" s="133"/>
      <c r="HP1094" s="133"/>
      <c r="HQ1094" s="133"/>
      <c r="HR1094" s="133"/>
      <c r="HS1094" s="133"/>
      <c r="HT1094" s="133"/>
      <c r="HU1094" s="133"/>
      <c r="HV1094" s="133"/>
      <c r="HW1094" s="133"/>
      <c r="HX1094" s="133"/>
      <c r="HY1094" s="133"/>
      <c r="HZ1094" s="133"/>
      <c r="IA1094" s="133"/>
      <c r="IB1094" s="133"/>
      <c r="IC1094" s="133"/>
      <c r="ID1094" s="133"/>
      <c r="IE1094" s="133"/>
      <c r="IF1094" s="133"/>
      <c r="IG1094" s="133"/>
      <c r="IH1094" s="133"/>
      <c r="II1094" s="133"/>
      <c r="IJ1094" s="133"/>
      <c r="IK1094" s="133"/>
      <c r="IL1094" s="133"/>
      <c r="IM1094" s="133"/>
      <c r="IN1094" s="133"/>
      <c r="IO1094" s="133"/>
      <c r="IP1094" s="133"/>
      <c r="IQ1094" s="133"/>
      <c r="IR1094" s="133"/>
      <c r="IS1094" s="133"/>
      <c r="IT1094" s="133"/>
      <c r="IU1094" s="133"/>
      <c r="IV1094" s="133"/>
    </row>
    <row r="1095" spans="1:256" s="132" customFormat="1" ht="13.8">
      <c r="A1095" s="133"/>
      <c r="B1095" s="133"/>
      <c r="C1095" s="133"/>
      <c r="D1095" s="133"/>
      <c r="E1095" s="133"/>
      <c r="F1095" s="133"/>
      <c r="G1095" s="133"/>
      <c r="H1095" s="133"/>
      <c r="I1095" s="133"/>
      <c r="J1095" s="133"/>
      <c r="K1095" s="133"/>
      <c r="L1095" s="133"/>
      <c r="M1095" s="133"/>
      <c r="N1095" s="133"/>
      <c r="O1095" s="133"/>
      <c r="P1095" s="133"/>
      <c r="GE1095" s="133"/>
      <c r="GF1095" s="133"/>
      <c r="GG1095" s="133"/>
      <c r="GH1095" s="133"/>
      <c r="GI1095" s="133"/>
      <c r="GJ1095" s="133"/>
      <c r="GK1095" s="133"/>
      <c r="GL1095" s="133"/>
      <c r="GM1095" s="133"/>
      <c r="GN1095" s="133"/>
      <c r="GO1095" s="133"/>
      <c r="GP1095" s="133"/>
      <c r="GQ1095" s="133"/>
      <c r="GR1095" s="133"/>
      <c r="GS1095" s="133"/>
      <c r="GT1095" s="133"/>
      <c r="GU1095" s="133"/>
      <c r="GV1095" s="133"/>
      <c r="GW1095" s="133"/>
      <c r="GX1095" s="133"/>
      <c r="GY1095" s="133"/>
      <c r="GZ1095" s="133"/>
      <c r="HA1095" s="133"/>
      <c r="HB1095" s="133"/>
      <c r="HC1095" s="133"/>
      <c r="HD1095" s="133"/>
      <c r="HE1095" s="133"/>
      <c r="HF1095" s="133"/>
      <c r="HG1095" s="133"/>
      <c r="HH1095" s="133"/>
      <c r="HI1095" s="133"/>
      <c r="HJ1095" s="133"/>
      <c r="HK1095" s="133"/>
      <c r="HL1095" s="133"/>
      <c r="HM1095" s="133"/>
      <c r="HN1095" s="133"/>
      <c r="HO1095" s="133"/>
      <c r="HP1095" s="133"/>
      <c r="HQ1095" s="133"/>
      <c r="HR1095" s="133"/>
      <c r="HS1095" s="133"/>
      <c r="HT1095" s="133"/>
      <c r="HU1095" s="133"/>
      <c r="HV1095" s="133"/>
      <c r="HW1095" s="133"/>
      <c r="HX1095" s="133"/>
      <c r="HY1095" s="133"/>
      <c r="HZ1095" s="133"/>
      <c r="IA1095" s="133"/>
      <c r="IB1095" s="133"/>
      <c r="IC1095" s="133"/>
      <c r="ID1095" s="133"/>
      <c r="IE1095" s="133"/>
      <c r="IF1095" s="133"/>
      <c r="IG1095" s="133"/>
      <c r="IH1095" s="133"/>
      <c r="II1095" s="133"/>
      <c r="IJ1095" s="133"/>
      <c r="IK1095" s="133"/>
      <c r="IL1095" s="133"/>
      <c r="IM1095" s="133"/>
      <c r="IN1095" s="133"/>
      <c r="IO1095" s="133"/>
      <c r="IP1095" s="133"/>
      <c r="IQ1095" s="133"/>
      <c r="IR1095" s="133"/>
      <c r="IS1095" s="133"/>
      <c r="IT1095" s="133"/>
      <c r="IU1095" s="133"/>
      <c r="IV1095" s="133"/>
    </row>
    <row r="1096" spans="1:256" s="132" customFormat="1" ht="13.8">
      <c r="A1096" s="133"/>
      <c r="B1096" s="133"/>
      <c r="C1096" s="133"/>
      <c r="D1096" s="133"/>
      <c r="E1096" s="133"/>
      <c r="F1096" s="133"/>
      <c r="G1096" s="133"/>
      <c r="H1096" s="133"/>
      <c r="I1096" s="133"/>
      <c r="J1096" s="133"/>
      <c r="K1096" s="133"/>
      <c r="L1096" s="133"/>
      <c r="M1096" s="133"/>
      <c r="N1096" s="133"/>
      <c r="O1096" s="133"/>
      <c r="P1096" s="133"/>
      <c r="GE1096" s="133"/>
      <c r="GF1096" s="133"/>
      <c r="GG1096" s="133"/>
      <c r="GH1096" s="133"/>
      <c r="GI1096" s="133"/>
      <c r="GJ1096" s="133"/>
      <c r="GK1096" s="133"/>
      <c r="GL1096" s="133"/>
      <c r="GM1096" s="133"/>
      <c r="GN1096" s="133"/>
      <c r="GO1096" s="133"/>
      <c r="GP1096" s="133"/>
      <c r="GQ1096" s="133"/>
      <c r="GR1096" s="133"/>
      <c r="GS1096" s="133"/>
      <c r="GT1096" s="133"/>
      <c r="GU1096" s="133"/>
      <c r="GV1096" s="133"/>
      <c r="GW1096" s="133"/>
      <c r="GX1096" s="133"/>
      <c r="GY1096" s="133"/>
      <c r="GZ1096" s="133"/>
      <c r="HA1096" s="133"/>
      <c r="HB1096" s="133"/>
      <c r="HC1096" s="133"/>
      <c r="HD1096" s="133"/>
      <c r="HE1096" s="133"/>
      <c r="HF1096" s="133"/>
      <c r="HG1096" s="133"/>
      <c r="HH1096" s="133"/>
      <c r="HI1096" s="133"/>
      <c r="HJ1096" s="133"/>
      <c r="HK1096" s="133"/>
      <c r="HL1096" s="133"/>
      <c r="HM1096" s="133"/>
      <c r="HN1096" s="133"/>
      <c r="HO1096" s="133"/>
      <c r="HP1096" s="133"/>
      <c r="HQ1096" s="133"/>
      <c r="HR1096" s="133"/>
      <c r="HS1096" s="133"/>
      <c r="HT1096" s="133"/>
      <c r="HU1096" s="133"/>
      <c r="HV1096" s="133"/>
      <c r="HW1096" s="133"/>
      <c r="HX1096" s="133"/>
      <c r="HY1096" s="133"/>
      <c r="HZ1096" s="133"/>
      <c r="IA1096" s="133"/>
      <c r="IB1096" s="133"/>
      <c r="IC1096" s="133"/>
      <c r="ID1096" s="133"/>
      <c r="IE1096" s="133"/>
      <c r="IF1096" s="133"/>
      <c r="IG1096" s="133"/>
      <c r="IH1096" s="133"/>
      <c r="II1096" s="133"/>
      <c r="IJ1096" s="133"/>
      <c r="IK1096" s="133"/>
      <c r="IL1096" s="133"/>
      <c r="IM1096" s="133"/>
      <c r="IN1096" s="133"/>
      <c r="IO1096" s="133"/>
      <c r="IP1096" s="133"/>
      <c r="IQ1096" s="133"/>
      <c r="IR1096" s="133"/>
      <c r="IS1096" s="133"/>
      <c r="IT1096" s="133"/>
      <c r="IU1096" s="133"/>
      <c r="IV1096" s="133"/>
    </row>
    <row r="1097" spans="1:256" s="132" customFormat="1" ht="13.8">
      <c r="A1097" s="133"/>
      <c r="B1097" s="133"/>
      <c r="C1097" s="133"/>
      <c r="D1097" s="133"/>
      <c r="E1097" s="133"/>
      <c r="F1097" s="133"/>
      <c r="G1097" s="133"/>
      <c r="H1097" s="133"/>
      <c r="I1097" s="133"/>
      <c r="J1097" s="133"/>
      <c r="K1097" s="133"/>
      <c r="L1097" s="133"/>
      <c r="M1097" s="133"/>
      <c r="N1097" s="133"/>
      <c r="O1097" s="133"/>
      <c r="P1097" s="133"/>
      <c r="GE1097" s="133"/>
      <c r="GF1097" s="133"/>
      <c r="GG1097" s="133"/>
      <c r="GH1097" s="133"/>
      <c r="GI1097" s="133"/>
      <c r="GJ1097" s="133"/>
      <c r="GK1097" s="133"/>
      <c r="GL1097" s="133"/>
      <c r="GM1097" s="133"/>
      <c r="GN1097" s="133"/>
      <c r="GO1097" s="133"/>
      <c r="GP1097" s="133"/>
      <c r="GQ1097" s="133"/>
      <c r="GR1097" s="133"/>
      <c r="GS1097" s="133"/>
      <c r="GT1097" s="133"/>
      <c r="GU1097" s="133"/>
      <c r="GV1097" s="133"/>
      <c r="GW1097" s="133"/>
      <c r="GX1097" s="133"/>
      <c r="GY1097" s="133"/>
      <c r="GZ1097" s="133"/>
      <c r="HA1097" s="133"/>
      <c r="HB1097" s="133"/>
      <c r="HC1097" s="133"/>
      <c r="HD1097" s="133"/>
      <c r="HE1097" s="133"/>
      <c r="HF1097" s="133"/>
      <c r="HG1097" s="133"/>
      <c r="HH1097" s="133"/>
      <c r="HI1097" s="133"/>
      <c r="HJ1097" s="133"/>
      <c r="HK1097" s="133"/>
      <c r="HL1097" s="133"/>
      <c r="HM1097" s="133"/>
      <c r="HN1097" s="133"/>
      <c r="HO1097" s="133"/>
      <c r="HP1097" s="133"/>
      <c r="HQ1097" s="133"/>
      <c r="HR1097" s="133"/>
      <c r="HS1097" s="133"/>
      <c r="HT1097" s="133"/>
      <c r="HU1097" s="133"/>
      <c r="HV1097" s="133"/>
      <c r="HW1097" s="133"/>
      <c r="HX1097" s="133"/>
      <c r="HY1097" s="133"/>
      <c r="HZ1097" s="133"/>
      <c r="IA1097" s="133"/>
      <c r="IB1097" s="133"/>
      <c r="IC1097" s="133"/>
      <c r="ID1097" s="133"/>
      <c r="IE1097" s="133"/>
      <c r="IF1097" s="133"/>
      <c r="IG1097" s="133"/>
      <c r="IH1097" s="133"/>
      <c r="II1097" s="133"/>
      <c r="IJ1097" s="133"/>
      <c r="IK1097" s="133"/>
      <c r="IL1097" s="133"/>
      <c r="IM1097" s="133"/>
      <c r="IN1097" s="133"/>
      <c r="IO1097" s="133"/>
      <c r="IP1097" s="133"/>
      <c r="IQ1097" s="133"/>
      <c r="IR1097" s="133"/>
      <c r="IS1097" s="133"/>
      <c r="IT1097" s="133"/>
      <c r="IU1097" s="133"/>
      <c r="IV1097" s="133"/>
    </row>
    <row r="1098" spans="1:256" s="132" customFormat="1" ht="13.8">
      <c r="A1098" s="133"/>
      <c r="B1098" s="133"/>
      <c r="C1098" s="133"/>
      <c r="D1098" s="133"/>
      <c r="E1098" s="133"/>
      <c r="F1098" s="133"/>
      <c r="G1098" s="133"/>
      <c r="H1098" s="133"/>
      <c r="I1098" s="133"/>
      <c r="J1098" s="133"/>
      <c r="K1098" s="133"/>
      <c r="L1098" s="133"/>
      <c r="M1098" s="133"/>
      <c r="N1098" s="133"/>
      <c r="O1098" s="133"/>
      <c r="P1098" s="133"/>
      <c r="GE1098" s="133"/>
      <c r="GF1098" s="133"/>
      <c r="GG1098" s="133"/>
      <c r="GH1098" s="133"/>
      <c r="GI1098" s="133"/>
      <c r="GJ1098" s="133"/>
      <c r="GK1098" s="133"/>
      <c r="GL1098" s="133"/>
      <c r="GM1098" s="133"/>
      <c r="GN1098" s="133"/>
      <c r="GO1098" s="133"/>
      <c r="GP1098" s="133"/>
      <c r="GQ1098" s="133"/>
      <c r="GR1098" s="133"/>
      <c r="GS1098" s="133"/>
      <c r="GT1098" s="133"/>
      <c r="GU1098" s="133"/>
      <c r="GV1098" s="133"/>
      <c r="GW1098" s="133"/>
      <c r="GX1098" s="133"/>
      <c r="GY1098" s="133"/>
      <c r="GZ1098" s="133"/>
      <c r="HA1098" s="133"/>
      <c r="HB1098" s="133"/>
      <c r="HC1098" s="133"/>
      <c r="HD1098" s="133"/>
      <c r="HE1098" s="133"/>
      <c r="HF1098" s="133"/>
      <c r="HG1098" s="133"/>
      <c r="HH1098" s="133"/>
      <c r="HI1098" s="133"/>
      <c r="HJ1098" s="133"/>
      <c r="HK1098" s="133"/>
      <c r="HL1098" s="133"/>
      <c r="HM1098" s="133"/>
      <c r="HN1098" s="133"/>
      <c r="HO1098" s="133"/>
      <c r="HP1098" s="133"/>
      <c r="HQ1098" s="133"/>
      <c r="HR1098" s="133"/>
      <c r="HS1098" s="133"/>
      <c r="HT1098" s="133"/>
      <c r="HU1098" s="133"/>
      <c r="HV1098" s="133"/>
      <c r="HW1098" s="133"/>
      <c r="HX1098" s="133"/>
      <c r="HY1098" s="133"/>
      <c r="HZ1098" s="133"/>
      <c r="IA1098" s="133"/>
      <c r="IB1098" s="133"/>
      <c r="IC1098" s="133"/>
      <c r="ID1098" s="133"/>
      <c r="IE1098" s="133"/>
      <c r="IF1098" s="133"/>
      <c r="IG1098" s="133"/>
      <c r="IH1098" s="133"/>
      <c r="II1098" s="133"/>
      <c r="IJ1098" s="133"/>
      <c r="IK1098" s="133"/>
      <c r="IL1098" s="133"/>
      <c r="IM1098" s="133"/>
      <c r="IN1098" s="133"/>
      <c r="IO1098" s="133"/>
      <c r="IP1098" s="133"/>
      <c r="IQ1098" s="133"/>
      <c r="IR1098" s="133"/>
      <c r="IS1098" s="133"/>
      <c r="IT1098" s="133"/>
      <c r="IU1098" s="133"/>
      <c r="IV1098" s="133"/>
    </row>
    <row r="1099" spans="1:256" s="132" customFormat="1" ht="13.8">
      <c r="A1099" s="133"/>
      <c r="B1099" s="133"/>
      <c r="C1099" s="133"/>
      <c r="D1099" s="133"/>
      <c r="E1099" s="133"/>
      <c r="F1099" s="133"/>
      <c r="G1099" s="133"/>
      <c r="H1099" s="133"/>
      <c r="I1099" s="133"/>
      <c r="J1099" s="133"/>
      <c r="K1099" s="133"/>
      <c r="L1099" s="133"/>
      <c r="M1099" s="133"/>
      <c r="N1099" s="133"/>
      <c r="O1099" s="133"/>
      <c r="P1099" s="133"/>
      <c r="GE1099" s="133"/>
      <c r="GF1099" s="133"/>
      <c r="GG1099" s="133"/>
      <c r="GH1099" s="133"/>
      <c r="GI1099" s="133"/>
      <c r="GJ1099" s="133"/>
      <c r="GK1099" s="133"/>
      <c r="GL1099" s="133"/>
      <c r="GM1099" s="133"/>
      <c r="GN1099" s="133"/>
      <c r="GO1099" s="133"/>
      <c r="GP1099" s="133"/>
      <c r="GQ1099" s="133"/>
      <c r="GR1099" s="133"/>
      <c r="GS1099" s="133"/>
      <c r="GT1099" s="133"/>
      <c r="GU1099" s="133"/>
      <c r="GV1099" s="133"/>
      <c r="GW1099" s="133"/>
      <c r="GX1099" s="133"/>
      <c r="GY1099" s="133"/>
      <c r="GZ1099" s="133"/>
      <c r="HA1099" s="133"/>
      <c r="HB1099" s="133"/>
      <c r="HC1099" s="133"/>
      <c r="HD1099" s="133"/>
      <c r="HE1099" s="133"/>
      <c r="HF1099" s="133"/>
      <c r="HG1099" s="133"/>
      <c r="HH1099" s="133"/>
      <c r="HI1099" s="133"/>
      <c r="HJ1099" s="133"/>
      <c r="HK1099" s="133"/>
      <c r="HL1099" s="133"/>
      <c r="HM1099" s="133"/>
      <c r="HN1099" s="133"/>
      <c r="HO1099" s="133"/>
      <c r="HP1099" s="133"/>
      <c r="HQ1099" s="133"/>
      <c r="HR1099" s="133"/>
      <c r="HS1099" s="133"/>
      <c r="HT1099" s="133"/>
      <c r="HU1099" s="133"/>
      <c r="HV1099" s="133"/>
      <c r="HW1099" s="133"/>
      <c r="HX1099" s="133"/>
      <c r="HY1099" s="133"/>
      <c r="HZ1099" s="133"/>
      <c r="IA1099" s="133"/>
      <c r="IB1099" s="133"/>
      <c r="IC1099" s="133"/>
      <c r="ID1099" s="133"/>
      <c r="IE1099" s="133"/>
      <c r="IF1099" s="133"/>
      <c r="IG1099" s="133"/>
      <c r="IH1099" s="133"/>
      <c r="II1099" s="133"/>
      <c r="IJ1099" s="133"/>
      <c r="IK1099" s="133"/>
      <c r="IL1099" s="133"/>
      <c r="IM1099" s="133"/>
      <c r="IN1099" s="133"/>
      <c r="IO1099" s="133"/>
      <c r="IP1099" s="133"/>
      <c r="IQ1099" s="133"/>
      <c r="IR1099" s="133"/>
      <c r="IS1099" s="133"/>
      <c r="IT1099" s="133"/>
      <c r="IU1099" s="133"/>
      <c r="IV1099" s="133"/>
    </row>
    <row r="1100" spans="1:256" s="132" customFormat="1" ht="13.8">
      <c r="A1100" s="133"/>
      <c r="B1100" s="133"/>
      <c r="C1100" s="133"/>
      <c r="D1100" s="133"/>
      <c r="E1100" s="133"/>
      <c r="F1100" s="133"/>
      <c r="G1100" s="133"/>
      <c r="H1100" s="133"/>
      <c r="I1100" s="133"/>
      <c r="J1100" s="133"/>
      <c r="K1100" s="133"/>
      <c r="L1100" s="133"/>
      <c r="M1100" s="133"/>
      <c r="N1100" s="133"/>
      <c r="O1100" s="133"/>
      <c r="P1100" s="133"/>
      <c r="GE1100" s="133"/>
      <c r="GF1100" s="133"/>
      <c r="GG1100" s="133"/>
      <c r="GH1100" s="133"/>
      <c r="GI1100" s="133"/>
      <c r="GJ1100" s="133"/>
      <c r="GK1100" s="133"/>
      <c r="GL1100" s="133"/>
      <c r="GM1100" s="133"/>
      <c r="GN1100" s="133"/>
      <c r="GO1100" s="133"/>
      <c r="GP1100" s="133"/>
      <c r="GQ1100" s="133"/>
      <c r="GR1100" s="133"/>
      <c r="GS1100" s="133"/>
      <c r="GT1100" s="133"/>
      <c r="GU1100" s="133"/>
      <c r="GV1100" s="133"/>
      <c r="GW1100" s="133"/>
      <c r="GX1100" s="133"/>
      <c r="GY1100" s="133"/>
      <c r="GZ1100" s="133"/>
      <c r="HA1100" s="133"/>
      <c r="HB1100" s="133"/>
      <c r="HC1100" s="133"/>
      <c r="HD1100" s="133"/>
      <c r="HE1100" s="133"/>
      <c r="HF1100" s="133"/>
      <c r="HG1100" s="133"/>
      <c r="HH1100" s="133"/>
      <c r="HI1100" s="133"/>
      <c r="HJ1100" s="133"/>
      <c r="HK1100" s="133"/>
      <c r="HL1100" s="133"/>
      <c r="HM1100" s="133"/>
      <c r="HN1100" s="133"/>
      <c r="HO1100" s="133"/>
      <c r="HP1100" s="133"/>
      <c r="HQ1100" s="133"/>
      <c r="HR1100" s="133"/>
      <c r="HS1100" s="133"/>
      <c r="HT1100" s="133"/>
      <c r="HU1100" s="133"/>
      <c r="HV1100" s="133"/>
      <c r="HW1100" s="133"/>
      <c r="HX1100" s="133"/>
      <c r="HY1100" s="133"/>
      <c r="HZ1100" s="133"/>
      <c r="IA1100" s="133"/>
      <c r="IB1100" s="133"/>
      <c r="IC1100" s="133"/>
      <c r="ID1100" s="133"/>
      <c r="IE1100" s="133"/>
      <c r="IF1100" s="133"/>
      <c r="IG1100" s="133"/>
      <c r="IH1100" s="133"/>
      <c r="II1100" s="133"/>
      <c r="IJ1100" s="133"/>
      <c r="IK1100" s="133"/>
      <c r="IL1100" s="133"/>
      <c r="IM1100" s="133"/>
      <c r="IN1100" s="133"/>
      <c r="IO1100" s="133"/>
      <c r="IP1100" s="133"/>
      <c r="IQ1100" s="133"/>
      <c r="IR1100" s="133"/>
      <c r="IS1100" s="133"/>
      <c r="IT1100" s="133"/>
      <c r="IU1100" s="133"/>
      <c r="IV1100" s="133"/>
    </row>
    <row r="1101" spans="1:256" s="132" customFormat="1" ht="13.8">
      <c r="A1101" s="133"/>
      <c r="B1101" s="133"/>
      <c r="C1101" s="133"/>
      <c r="D1101" s="133"/>
      <c r="E1101" s="133"/>
      <c r="F1101" s="133"/>
      <c r="G1101" s="133"/>
      <c r="H1101" s="133"/>
      <c r="I1101" s="133"/>
      <c r="J1101" s="133"/>
      <c r="K1101" s="133"/>
      <c r="L1101" s="133"/>
      <c r="M1101" s="133"/>
      <c r="N1101" s="133"/>
      <c r="O1101" s="133"/>
      <c r="P1101" s="133"/>
      <c r="GE1101" s="133"/>
      <c r="GF1101" s="133"/>
      <c r="GG1101" s="133"/>
      <c r="GH1101" s="133"/>
      <c r="GI1101" s="133"/>
      <c r="GJ1101" s="133"/>
      <c r="GK1101" s="133"/>
      <c r="GL1101" s="133"/>
      <c r="GM1101" s="133"/>
      <c r="GN1101" s="133"/>
      <c r="GO1101" s="133"/>
      <c r="GP1101" s="133"/>
      <c r="GQ1101" s="133"/>
      <c r="GR1101" s="133"/>
      <c r="GS1101" s="133"/>
      <c r="GT1101" s="133"/>
      <c r="GU1101" s="133"/>
      <c r="GV1101" s="133"/>
      <c r="GW1101" s="133"/>
      <c r="GX1101" s="133"/>
      <c r="GY1101" s="133"/>
      <c r="GZ1101" s="133"/>
      <c r="HA1101" s="133"/>
      <c r="HB1101" s="133"/>
      <c r="HC1101" s="133"/>
      <c r="HD1101" s="133"/>
      <c r="HE1101" s="133"/>
      <c r="HF1101" s="133"/>
      <c r="HG1101" s="133"/>
      <c r="HH1101" s="133"/>
      <c r="HI1101" s="133"/>
      <c r="HJ1101" s="133"/>
      <c r="HK1101" s="133"/>
      <c r="HL1101" s="133"/>
      <c r="HM1101" s="133"/>
      <c r="HN1101" s="133"/>
      <c r="HO1101" s="133"/>
      <c r="HP1101" s="133"/>
      <c r="HQ1101" s="133"/>
      <c r="HR1101" s="133"/>
      <c r="HS1101" s="133"/>
      <c r="HT1101" s="133"/>
      <c r="HU1101" s="133"/>
      <c r="HV1101" s="133"/>
      <c r="HW1101" s="133"/>
      <c r="HX1101" s="133"/>
      <c r="HY1101" s="133"/>
      <c r="HZ1101" s="133"/>
      <c r="IA1101" s="133"/>
      <c r="IB1101" s="133"/>
      <c r="IC1101" s="133"/>
      <c r="ID1101" s="133"/>
      <c r="IE1101" s="133"/>
      <c r="IF1101" s="133"/>
      <c r="IG1101" s="133"/>
      <c r="IH1101" s="133"/>
      <c r="II1101" s="133"/>
      <c r="IJ1101" s="133"/>
      <c r="IK1101" s="133"/>
      <c r="IL1101" s="133"/>
      <c r="IM1101" s="133"/>
      <c r="IN1101" s="133"/>
      <c r="IO1101" s="133"/>
      <c r="IP1101" s="133"/>
      <c r="IQ1101" s="133"/>
      <c r="IR1101" s="133"/>
      <c r="IS1101" s="133"/>
      <c r="IT1101" s="133"/>
      <c r="IU1101" s="133"/>
      <c r="IV1101" s="133"/>
    </row>
    <row r="1102" spans="1:256" s="132" customFormat="1" ht="13.8">
      <c r="A1102" s="133"/>
      <c r="B1102" s="133"/>
      <c r="C1102" s="133"/>
      <c r="D1102" s="133"/>
      <c r="E1102" s="133"/>
      <c r="F1102" s="133"/>
      <c r="G1102" s="133"/>
      <c r="H1102" s="133"/>
      <c r="I1102" s="133"/>
      <c r="J1102" s="133"/>
      <c r="K1102" s="133"/>
      <c r="L1102" s="133"/>
      <c r="M1102" s="133"/>
      <c r="N1102" s="133"/>
      <c r="O1102" s="133"/>
      <c r="P1102" s="133"/>
      <c r="GE1102" s="133"/>
      <c r="GF1102" s="133"/>
      <c r="GG1102" s="133"/>
      <c r="GH1102" s="133"/>
      <c r="GI1102" s="133"/>
      <c r="GJ1102" s="133"/>
      <c r="GK1102" s="133"/>
      <c r="GL1102" s="133"/>
      <c r="GM1102" s="133"/>
      <c r="GN1102" s="133"/>
      <c r="GO1102" s="133"/>
      <c r="GP1102" s="133"/>
      <c r="GQ1102" s="133"/>
      <c r="GR1102" s="133"/>
      <c r="GS1102" s="133"/>
      <c r="GT1102" s="133"/>
      <c r="GU1102" s="133"/>
      <c r="GV1102" s="133"/>
      <c r="GW1102" s="133"/>
      <c r="GX1102" s="133"/>
      <c r="GY1102" s="133"/>
      <c r="GZ1102" s="133"/>
      <c r="HA1102" s="133"/>
      <c r="HB1102" s="133"/>
      <c r="HC1102" s="133"/>
      <c r="HD1102" s="133"/>
      <c r="HE1102" s="133"/>
      <c r="HF1102" s="133"/>
      <c r="HG1102" s="133"/>
      <c r="HH1102" s="133"/>
      <c r="HI1102" s="133"/>
      <c r="HJ1102" s="133"/>
      <c r="HK1102" s="133"/>
      <c r="HL1102" s="133"/>
      <c r="HM1102" s="133"/>
      <c r="HN1102" s="133"/>
      <c r="HO1102" s="133"/>
      <c r="HP1102" s="133"/>
      <c r="HQ1102" s="133"/>
      <c r="HR1102" s="133"/>
      <c r="HS1102" s="133"/>
      <c r="HT1102" s="133"/>
      <c r="HU1102" s="133"/>
      <c r="HV1102" s="133"/>
      <c r="HW1102" s="133"/>
      <c r="HX1102" s="133"/>
      <c r="HY1102" s="133"/>
      <c r="HZ1102" s="133"/>
      <c r="IA1102" s="133"/>
      <c r="IB1102" s="133"/>
      <c r="IC1102" s="133"/>
      <c r="ID1102" s="133"/>
      <c r="IE1102" s="133"/>
      <c r="IF1102" s="133"/>
      <c r="IG1102" s="133"/>
      <c r="IH1102" s="133"/>
      <c r="II1102" s="133"/>
      <c r="IJ1102" s="133"/>
      <c r="IK1102" s="133"/>
      <c r="IL1102" s="133"/>
      <c r="IM1102" s="133"/>
      <c r="IN1102" s="133"/>
      <c r="IO1102" s="133"/>
      <c r="IP1102" s="133"/>
      <c r="IQ1102" s="133"/>
      <c r="IR1102" s="133"/>
      <c r="IS1102" s="133"/>
      <c r="IT1102" s="133"/>
      <c r="IU1102" s="133"/>
      <c r="IV1102" s="133"/>
    </row>
    <row r="1103" spans="1:256" s="132" customFormat="1" ht="13.8">
      <c r="A1103" s="133"/>
      <c r="B1103" s="133"/>
      <c r="C1103" s="133"/>
      <c r="D1103" s="133"/>
      <c r="E1103" s="133"/>
      <c r="F1103" s="133"/>
      <c r="G1103" s="133"/>
      <c r="H1103" s="133"/>
      <c r="I1103" s="133"/>
      <c r="J1103" s="133"/>
      <c r="K1103" s="133"/>
      <c r="L1103" s="133"/>
      <c r="M1103" s="133"/>
      <c r="N1103" s="133"/>
      <c r="O1103" s="133"/>
      <c r="P1103" s="133"/>
      <c r="GE1103" s="133"/>
      <c r="GF1103" s="133"/>
      <c r="GG1103" s="133"/>
      <c r="GH1103" s="133"/>
      <c r="GI1103" s="133"/>
      <c r="GJ1103" s="133"/>
      <c r="GK1103" s="133"/>
      <c r="GL1103" s="133"/>
      <c r="GM1103" s="133"/>
      <c r="GN1103" s="133"/>
      <c r="GO1103" s="133"/>
      <c r="GP1103" s="133"/>
      <c r="GQ1103" s="133"/>
      <c r="GR1103" s="133"/>
      <c r="GS1103" s="133"/>
      <c r="GT1103" s="133"/>
      <c r="GU1103" s="133"/>
      <c r="GV1103" s="133"/>
      <c r="GW1103" s="133"/>
      <c r="GX1103" s="133"/>
      <c r="GY1103" s="133"/>
      <c r="GZ1103" s="133"/>
      <c r="HA1103" s="133"/>
      <c r="HB1103" s="133"/>
      <c r="HC1103" s="133"/>
      <c r="HD1103" s="133"/>
      <c r="HE1103" s="133"/>
      <c r="HF1103" s="133"/>
      <c r="HG1103" s="133"/>
      <c r="HH1103" s="133"/>
      <c r="HI1103" s="133"/>
      <c r="HJ1103" s="133"/>
      <c r="HK1103" s="133"/>
      <c r="HL1103" s="133"/>
      <c r="HM1103" s="133"/>
      <c r="HN1103" s="133"/>
      <c r="HO1103" s="133"/>
      <c r="HP1103" s="133"/>
      <c r="HQ1103" s="133"/>
      <c r="HR1103" s="133"/>
      <c r="HS1103" s="133"/>
      <c r="HT1103" s="133"/>
      <c r="HU1103" s="133"/>
      <c r="HV1103" s="133"/>
      <c r="HW1103" s="133"/>
      <c r="HX1103" s="133"/>
      <c r="HY1103" s="133"/>
      <c r="HZ1103" s="133"/>
      <c r="IA1103" s="133"/>
      <c r="IB1103" s="133"/>
      <c r="IC1103" s="133"/>
      <c r="ID1103" s="133"/>
      <c r="IE1103" s="133"/>
      <c r="IF1103" s="133"/>
      <c r="IG1103" s="133"/>
      <c r="IH1103" s="133"/>
      <c r="II1103" s="133"/>
      <c r="IJ1103" s="133"/>
      <c r="IK1103" s="133"/>
      <c r="IL1103" s="133"/>
      <c r="IM1103" s="133"/>
      <c r="IN1103" s="133"/>
      <c r="IO1103" s="133"/>
      <c r="IP1103" s="133"/>
      <c r="IQ1103" s="133"/>
      <c r="IR1103" s="133"/>
      <c r="IS1103" s="133"/>
      <c r="IT1103" s="133"/>
      <c r="IU1103" s="133"/>
      <c r="IV1103" s="133"/>
    </row>
    <row r="1104" spans="1:256" s="132" customFormat="1" ht="13.8">
      <c r="A1104" s="133"/>
      <c r="B1104" s="133"/>
      <c r="C1104" s="133"/>
      <c r="D1104" s="133"/>
      <c r="E1104" s="133"/>
      <c r="F1104" s="133"/>
      <c r="G1104" s="133"/>
      <c r="H1104" s="133"/>
      <c r="I1104" s="133"/>
      <c r="J1104" s="133"/>
      <c r="K1104" s="133"/>
      <c r="L1104" s="133"/>
      <c r="M1104" s="133"/>
      <c r="N1104" s="133"/>
      <c r="O1104" s="133"/>
      <c r="P1104" s="133"/>
      <c r="GE1104" s="133"/>
      <c r="GF1104" s="133"/>
      <c r="GG1104" s="133"/>
      <c r="GH1104" s="133"/>
      <c r="GI1104" s="133"/>
      <c r="GJ1104" s="133"/>
      <c r="GK1104" s="133"/>
      <c r="GL1104" s="133"/>
      <c r="GM1104" s="133"/>
      <c r="GN1104" s="133"/>
      <c r="GO1104" s="133"/>
      <c r="GP1104" s="133"/>
      <c r="GQ1104" s="133"/>
      <c r="GR1104" s="133"/>
      <c r="GS1104" s="133"/>
      <c r="GT1104" s="133"/>
      <c r="GU1104" s="133"/>
      <c r="GV1104" s="133"/>
      <c r="GW1104" s="133"/>
      <c r="GX1104" s="133"/>
      <c r="GY1104" s="133"/>
      <c r="GZ1104" s="133"/>
      <c r="HA1104" s="133"/>
      <c r="HB1104" s="133"/>
      <c r="HC1104" s="133"/>
      <c r="HD1104" s="133"/>
      <c r="HE1104" s="133"/>
      <c r="HF1104" s="133"/>
      <c r="HG1104" s="133"/>
      <c r="HH1104" s="133"/>
      <c r="HI1104" s="133"/>
      <c r="HJ1104" s="133"/>
      <c r="HK1104" s="133"/>
      <c r="HL1104" s="133"/>
      <c r="HM1104" s="133"/>
      <c r="HN1104" s="133"/>
      <c r="HO1104" s="133"/>
      <c r="HP1104" s="133"/>
      <c r="HQ1104" s="133"/>
      <c r="HR1104" s="133"/>
      <c r="HS1104" s="133"/>
      <c r="HT1104" s="133"/>
      <c r="HU1104" s="133"/>
      <c r="HV1104" s="133"/>
      <c r="HW1104" s="133"/>
      <c r="HX1104" s="133"/>
      <c r="HY1104" s="133"/>
      <c r="HZ1104" s="133"/>
      <c r="IA1104" s="133"/>
      <c r="IB1104" s="133"/>
      <c r="IC1104" s="133"/>
      <c r="ID1104" s="133"/>
      <c r="IE1104" s="133"/>
      <c r="IF1104" s="133"/>
      <c r="IG1104" s="133"/>
      <c r="IH1104" s="133"/>
      <c r="II1104" s="133"/>
      <c r="IJ1104" s="133"/>
      <c r="IK1104" s="133"/>
      <c r="IL1104" s="133"/>
      <c r="IM1104" s="133"/>
      <c r="IN1104" s="133"/>
      <c r="IO1104" s="133"/>
      <c r="IP1104" s="133"/>
      <c r="IQ1104" s="133"/>
      <c r="IR1104" s="133"/>
      <c r="IS1104" s="133"/>
      <c r="IT1104" s="133"/>
      <c r="IU1104" s="133"/>
      <c r="IV1104" s="133"/>
    </row>
    <row r="1105" spans="1:256" s="132" customFormat="1" ht="13.8">
      <c r="A1105" s="133"/>
      <c r="B1105" s="133"/>
      <c r="C1105" s="133"/>
      <c r="D1105" s="133"/>
      <c r="E1105" s="133"/>
      <c r="F1105" s="133"/>
      <c r="G1105" s="133"/>
      <c r="H1105" s="133"/>
      <c r="I1105" s="133"/>
      <c r="J1105" s="133"/>
      <c r="K1105" s="133"/>
      <c r="L1105" s="133"/>
      <c r="M1105" s="133"/>
      <c r="N1105" s="133"/>
      <c r="O1105" s="133"/>
      <c r="P1105" s="133"/>
      <c r="GE1105" s="133"/>
      <c r="GF1105" s="133"/>
      <c r="GG1105" s="133"/>
      <c r="GH1105" s="133"/>
      <c r="GI1105" s="133"/>
      <c r="GJ1105" s="133"/>
      <c r="GK1105" s="133"/>
      <c r="GL1105" s="133"/>
      <c r="GM1105" s="133"/>
      <c r="GN1105" s="133"/>
      <c r="GO1105" s="133"/>
      <c r="GP1105" s="133"/>
      <c r="GQ1105" s="133"/>
      <c r="GR1105" s="133"/>
      <c r="GS1105" s="133"/>
      <c r="GT1105" s="133"/>
      <c r="GU1105" s="133"/>
      <c r="GV1105" s="133"/>
      <c r="GW1105" s="133"/>
      <c r="GX1105" s="133"/>
      <c r="GY1105" s="133"/>
      <c r="GZ1105" s="133"/>
      <c r="HA1105" s="133"/>
      <c r="HB1105" s="133"/>
      <c r="HC1105" s="133"/>
      <c r="HD1105" s="133"/>
      <c r="HE1105" s="133"/>
      <c r="HF1105" s="133"/>
      <c r="HG1105" s="133"/>
      <c r="HH1105" s="133"/>
      <c r="HI1105" s="133"/>
      <c r="HJ1105" s="133"/>
      <c r="HK1105" s="133"/>
      <c r="HL1105" s="133"/>
      <c r="HM1105" s="133"/>
      <c r="HN1105" s="133"/>
      <c r="HO1105" s="133"/>
      <c r="HP1105" s="133"/>
      <c r="HQ1105" s="133"/>
      <c r="HR1105" s="133"/>
      <c r="HS1105" s="133"/>
      <c r="HT1105" s="133"/>
      <c r="HU1105" s="133"/>
      <c r="HV1105" s="133"/>
      <c r="HW1105" s="133"/>
      <c r="HX1105" s="133"/>
      <c r="HY1105" s="133"/>
      <c r="HZ1105" s="133"/>
      <c r="IA1105" s="133"/>
      <c r="IB1105" s="133"/>
      <c r="IC1105" s="133"/>
      <c r="ID1105" s="133"/>
      <c r="IE1105" s="133"/>
      <c r="IF1105" s="133"/>
      <c r="IG1105" s="133"/>
      <c r="IH1105" s="133"/>
      <c r="II1105" s="133"/>
      <c r="IJ1105" s="133"/>
      <c r="IK1105" s="133"/>
      <c r="IL1105" s="133"/>
      <c r="IM1105" s="133"/>
      <c r="IN1105" s="133"/>
      <c r="IO1105" s="133"/>
      <c r="IP1105" s="133"/>
      <c r="IQ1105" s="133"/>
      <c r="IR1105" s="133"/>
      <c r="IS1105" s="133"/>
      <c r="IT1105" s="133"/>
      <c r="IU1105" s="133"/>
      <c r="IV1105" s="133"/>
    </row>
    <row r="1106" spans="1:256" s="132" customFormat="1" ht="13.8">
      <c r="A1106" s="133"/>
      <c r="B1106" s="133"/>
      <c r="C1106" s="133"/>
      <c r="D1106" s="133"/>
      <c r="E1106" s="133"/>
      <c r="F1106" s="133"/>
      <c r="G1106" s="133"/>
      <c r="H1106" s="133"/>
      <c r="I1106" s="133"/>
      <c r="J1106" s="133"/>
      <c r="K1106" s="133"/>
      <c r="L1106" s="133"/>
      <c r="M1106" s="133"/>
      <c r="N1106" s="133"/>
      <c r="O1106" s="133"/>
      <c r="P1106" s="133"/>
      <c r="GE1106" s="133"/>
      <c r="GF1106" s="133"/>
      <c r="GG1106" s="133"/>
      <c r="GH1106" s="133"/>
      <c r="GI1106" s="133"/>
      <c r="GJ1106" s="133"/>
      <c r="GK1106" s="133"/>
      <c r="GL1106" s="133"/>
      <c r="GM1106" s="133"/>
      <c r="GN1106" s="133"/>
      <c r="GO1106" s="133"/>
      <c r="GP1106" s="133"/>
      <c r="GQ1106" s="133"/>
      <c r="GR1106" s="133"/>
      <c r="GS1106" s="133"/>
      <c r="GT1106" s="133"/>
      <c r="GU1106" s="133"/>
      <c r="GV1106" s="133"/>
      <c r="GW1106" s="133"/>
      <c r="GX1106" s="133"/>
      <c r="GY1106" s="133"/>
      <c r="GZ1106" s="133"/>
      <c r="HA1106" s="133"/>
      <c r="HB1106" s="133"/>
      <c r="HC1106" s="133"/>
      <c r="HD1106" s="133"/>
      <c r="HE1106" s="133"/>
      <c r="HF1106" s="133"/>
      <c r="HG1106" s="133"/>
      <c r="HH1106" s="133"/>
      <c r="HI1106" s="133"/>
      <c r="HJ1106" s="133"/>
      <c r="HK1106" s="133"/>
      <c r="HL1106" s="133"/>
      <c r="HM1106" s="133"/>
      <c r="HN1106" s="133"/>
      <c r="HO1106" s="133"/>
      <c r="HP1106" s="133"/>
      <c r="HQ1106" s="133"/>
      <c r="HR1106" s="133"/>
      <c r="HS1106" s="133"/>
      <c r="HT1106" s="133"/>
      <c r="HU1106" s="133"/>
      <c r="HV1106" s="133"/>
      <c r="HW1106" s="133"/>
      <c r="HX1106" s="133"/>
      <c r="HY1106" s="133"/>
      <c r="HZ1106" s="133"/>
      <c r="IA1106" s="133"/>
      <c r="IB1106" s="133"/>
      <c r="IC1106" s="133"/>
      <c r="ID1106" s="133"/>
      <c r="IE1106" s="133"/>
      <c r="IF1106" s="133"/>
      <c r="IG1106" s="133"/>
      <c r="IH1106" s="133"/>
      <c r="II1106" s="133"/>
      <c r="IJ1106" s="133"/>
      <c r="IK1106" s="133"/>
      <c r="IL1106" s="133"/>
      <c r="IM1106" s="133"/>
      <c r="IN1106" s="133"/>
      <c r="IO1106" s="133"/>
      <c r="IP1106" s="133"/>
      <c r="IQ1106" s="133"/>
      <c r="IR1106" s="133"/>
      <c r="IS1106" s="133"/>
      <c r="IT1106" s="133"/>
      <c r="IU1106" s="133"/>
      <c r="IV1106" s="133"/>
    </row>
    <row r="1107" spans="1:256" s="132" customFormat="1" ht="13.8">
      <c r="A1107" s="133"/>
      <c r="B1107" s="133"/>
      <c r="C1107" s="133"/>
      <c r="D1107" s="133"/>
      <c r="E1107" s="133"/>
      <c r="F1107" s="133"/>
      <c r="G1107" s="133"/>
      <c r="H1107" s="133"/>
      <c r="I1107" s="133"/>
      <c r="J1107" s="133"/>
      <c r="K1107" s="133"/>
      <c r="L1107" s="133"/>
      <c r="M1107" s="133"/>
      <c r="N1107" s="133"/>
      <c r="O1107" s="133"/>
      <c r="P1107" s="133"/>
      <c r="GE1107" s="133"/>
      <c r="GF1107" s="133"/>
      <c r="GG1107" s="133"/>
      <c r="GH1107" s="133"/>
      <c r="GI1107" s="133"/>
      <c r="GJ1107" s="133"/>
      <c r="GK1107" s="133"/>
      <c r="GL1107" s="133"/>
      <c r="GM1107" s="133"/>
      <c r="GN1107" s="133"/>
      <c r="GO1107" s="133"/>
      <c r="GP1107" s="133"/>
      <c r="GQ1107" s="133"/>
      <c r="GR1107" s="133"/>
      <c r="GS1107" s="133"/>
      <c r="GT1107" s="133"/>
      <c r="GU1107" s="133"/>
      <c r="GV1107" s="133"/>
      <c r="GW1107" s="133"/>
      <c r="GX1107" s="133"/>
      <c r="GY1107" s="133"/>
      <c r="GZ1107" s="133"/>
      <c r="HA1107" s="133"/>
      <c r="HB1107" s="133"/>
      <c r="HC1107" s="133"/>
      <c r="HD1107" s="133"/>
      <c r="HE1107" s="133"/>
      <c r="HF1107" s="133"/>
      <c r="HG1107" s="133"/>
      <c r="HH1107" s="133"/>
      <c r="HI1107" s="133"/>
      <c r="HJ1107" s="133"/>
      <c r="HK1107" s="133"/>
      <c r="HL1107" s="133"/>
      <c r="HM1107" s="133"/>
      <c r="HN1107" s="133"/>
      <c r="HO1107" s="133"/>
      <c r="HP1107" s="133"/>
      <c r="HQ1107" s="133"/>
      <c r="HR1107" s="133"/>
      <c r="HS1107" s="133"/>
      <c r="HT1107" s="133"/>
      <c r="HU1107" s="133"/>
      <c r="HV1107" s="133"/>
      <c r="HW1107" s="133"/>
      <c r="HX1107" s="133"/>
      <c r="HY1107" s="133"/>
      <c r="HZ1107" s="133"/>
      <c r="IA1107" s="133"/>
      <c r="IB1107" s="133"/>
      <c r="IC1107" s="133"/>
      <c r="ID1107" s="133"/>
      <c r="IE1107" s="133"/>
      <c r="IF1107" s="133"/>
      <c r="IG1107" s="133"/>
      <c r="IH1107" s="133"/>
      <c r="II1107" s="133"/>
      <c r="IJ1107" s="133"/>
      <c r="IK1107" s="133"/>
      <c r="IL1107" s="133"/>
      <c r="IM1107" s="133"/>
      <c r="IN1107" s="133"/>
      <c r="IO1107" s="133"/>
      <c r="IP1107" s="133"/>
      <c r="IQ1107" s="133"/>
      <c r="IR1107" s="133"/>
      <c r="IS1107" s="133"/>
      <c r="IT1107" s="133"/>
      <c r="IU1107" s="133"/>
      <c r="IV1107" s="133"/>
    </row>
    <row r="1108" spans="1:256" s="132" customFormat="1" ht="13.8">
      <c r="A1108" s="133"/>
      <c r="B1108" s="133"/>
      <c r="C1108" s="133"/>
      <c r="D1108" s="133"/>
      <c r="E1108" s="133"/>
      <c r="F1108" s="133"/>
      <c r="G1108" s="133"/>
      <c r="H1108" s="133"/>
      <c r="I1108" s="133"/>
      <c r="J1108" s="133"/>
      <c r="K1108" s="133"/>
      <c r="L1108" s="133"/>
      <c r="M1108" s="133"/>
      <c r="N1108" s="133"/>
      <c r="O1108" s="133"/>
      <c r="P1108" s="133"/>
      <c r="GE1108" s="133"/>
      <c r="GF1108" s="133"/>
      <c r="GG1108" s="133"/>
      <c r="GH1108" s="133"/>
      <c r="GI1108" s="133"/>
      <c r="GJ1108" s="133"/>
      <c r="GK1108" s="133"/>
      <c r="GL1108" s="133"/>
      <c r="GM1108" s="133"/>
      <c r="GN1108" s="133"/>
      <c r="GO1108" s="133"/>
      <c r="GP1108" s="133"/>
      <c r="GQ1108" s="133"/>
      <c r="GR1108" s="133"/>
      <c r="GS1108" s="133"/>
      <c r="GT1108" s="133"/>
      <c r="GU1108" s="133"/>
      <c r="GV1108" s="133"/>
      <c r="GW1108" s="133"/>
      <c r="GX1108" s="133"/>
      <c r="GY1108" s="133"/>
      <c r="GZ1108" s="133"/>
      <c r="HA1108" s="133"/>
      <c r="HB1108" s="133"/>
      <c r="HC1108" s="133"/>
      <c r="HD1108" s="133"/>
      <c r="HE1108" s="133"/>
      <c r="HF1108" s="133"/>
      <c r="HG1108" s="133"/>
      <c r="HH1108" s="133"/>
      <c r="HI1108" s="133"/>
      <c r="HJ1108" s="133"/>
      <c r="HK1108" s="133"/>
      <c r="HL1108" s="133"/>
      <c r="HM1108" s="133"/>
      <c r="HN1108" s="133"/>
      <c r="HO1108" s="133"/>
      <c r="HP1108" s="133"/>
      <c r="HQ1108" s="133"/>
      <c r="HR1108" s="133"/>
      <c r="HS1108" s="133"/>
      <c r="HT1108" s="133"/>
      <c r="HU1108" s="133"/>
      <c r="HV1108" s="133"/>
      <c r="HW1108" s="133"/>
      <c r="HX1108" s="133"/>
      <c r="HY1108" s="133"/>
      <c r="HZ1108" s="133"/>
      <c r="IA1108" s="133"/>
      <c r="IB1108" s="133"/>
      <c r="IC1108" s="133"/>
      <c r="ID1108" s="133"/>
      <c r="IE1108" s="133"/>
      <c r="IF1108" s="133"/>
      <c r="IG1108" s="133"/>
      <c r="IH1108" s="133"/>
      <c r="II1108" s="133"/>
      <c r="IJ1108" s="133"/>
      <c r="IK1108" s="133"/>
      <c r="IL1108" s="133"/>
      <c r="IM1108" s="133"/>
      <c r="IN1108" s="133"/>
      <c r="IO1108" s="133"/>
      <c r="IP1108" s="133"/>
      <c r="IQ1108" s="133"/>
      <c r="IR1108" s="133"/>
      <c r="IS1108" s="133"/>
      <c r="IT1108" s="133"/>
      <c r="IU1108" s="133"/>
      <c r="IV1108" s="133"/>
    </row>
  </sheetData>
  <sheetProtection password="DE31" sheet="1" objects="1" scenarios="1" selectLockedCells="1" autoFilter="0"/>
  <autoFilter ref="A70:P85" xr:uid="{00000000-0009-0000-0000-000004000000}"/>
  <mergeCells count="1">
    <mergeCell ref="A1:P1"/>
  </mergeCells>
  <printOptions horizontalCentered="1"/>
  <pageMargins left="0.43333333333333302" right="0.43333333333333302" top="0.35416666666666702" bottom="0.74861111111111101" header="0.51180555555555496" footer="0.31527777777777799"/>
  <pageSetup paperSize="9" scale="53" firstPageNumber="3" fitToHeight="0" orientation="landscape" useFirstPageNumber="1" horizontalDpi="300" verticalDpi="300" r:id="rId1"/>
  <headerFooter>
    <oddFooter>&amp;CPage &amp;P of &amp;N</oddFooter>
  </headerFooter>
  <rowBreaks count="2" manualBreakCount="2">
    <brk id="69" max="16383" man="1"/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7"/>
  <sheetViews>
    <sheetView zoomScaleNormal="100" workbookViewId="0">
      <selection activeCell="F8" sqref="F8"/>
    </sheetView>
  </sheetViews>
  <sheetFormatPr defaultRowHeight="14.4"/>
  <cols>
    <col min="1" max="1" width="8.6640625" customWidth="1"/>
    <col min="2" max="2" width="11.88671875" customWidth="1"/>
    <col min="3" max="3" width="11.6640625" customWidth="1"/>
    <col min="4" max="4" width="8.6640625" customWidth="1"/>
    <col min="5" max="5" width="11.33203125" customWidth="1"/>
    <col min="6" max="6" width="18.5546875" customWidth="1"/>
    <col min="7" max="7" width="20.33203125" customWidth="1"/>
    <col min="8" max="8" width="19" customWidth="1"/>
    <col min="9" max="257" width="8.6640625" customWidth="1"/>
    <col min="258" max="258" width="11.88671875" customWidth="1"/>
    <col min="259" max="259" width="11.6640625" customWidth="1"/>
    <col min="260" max="260" width="8.6640625" customWidth="1"/>
    <col min="261" max="261" width="11.33203125" customWidth="1"/>
    <col min="262" max="262" width="18.5546875" customWidth="1"/>
    <col min="263" max="263" width="20.33203125" customWidth="1"/>
    <col min="264" max="264" width="19" customWidth="1"/>
    <col min="265" max="513" width="8.6640625" customWidth="1"/>
    <col min="514" max="514" width="11.88671875" customWidth="1"/>
    <col min="515" max="515" width="11.6640625" customWidth="1"/>
    <col min="516" max="516" width="8.6640625" customWidth="1"/>
    <col min="517" max="517" width="11.33203125" customWidth="1"/>
    <col min="518" max="518" width="18.5546875" customWidth="1"/>
    <col min="519" max="519" width="20.33203125" customWidth="1"/>
    <col min="520" max="520" width="19" customWidth="1"/>
    <col min="521" max="769" width="8.6640625" customWidth="1"/>
    <col min="770" max="770" width="11.88671875" customWidth="1"/>
    <col min="771" max="771" width="11.6640625" customWidth="1"/>
    <col min="772" max="772" width="8.6640625" customWidth="1"/>
    <col min="773" max="773" width="11.33203125" customWidth="1"/>
    <col min="774" max="774" width="18.5546875" customWidth="1"/>
    <col min="775" max="775" width="20.33203125" customWidth="1"/>
    <col min="776" max="776" width="19" customWidth="1"/>
    <col min="777" max="1025" width="8.6640625" customWidth="1"/>
  </cols>
  <sheetData>
    <row r="1" spans="1:8" ht="15.6">
      <c r="A1" s="176" t="s">
        <v>894</v>
      </c>
      <c r="B1" s="176"/>
      <c r="C1" s="176"/>
      <c r="D1" s="176"/>
      <c r="E1" s="176"/>
      <c r="F1" s="176"/>
      <c r="G1" s="176"/>
    </row>
    <row r="2" spans="1:8" ht="15.6">
      <c r="A2" s="176"/>
      <c r="B2" s="176"/>
      <c r="C2" s="176"/>
      <c r="D2" s="176"/>
      <c r="E2" s="176"/>
      <c r="F2" s="176"/>
      <c r="G2" s="176"/>
    </row>
    <row r="3" spans="1:8" ht="15.6">
      <c r="A3" s="176"/>
      <c r="B3" s="176"/>
      <c r="C3" s="176"/>
      <c r="D3" s="176"/>
      <c r="E3" s="176"/>
      <c r="F3" s="176"/>
      <c r="G3" s="176"/>
    </row>
    <row r="5" spans="1:8">
      <c r="A5" s="177" t="s">
        <v>895</v>
      </c>
    </row>
    <row r="6" spans="1:8">
      <c r="A6" s="177"/>
    </row>
    <row r="8" spans="1:8" ht="15.6">
      <c r="A8" s="176" t="s">
        <v>896</v>
      </c>
      <c r="B8" s="176"/>
    </row>
    <row r="10" spans="1:8" ht="15" customHeight="1">
      <c r="A10" s="243" t="s">
        <v>14</v>
      </c>
      <c r="B10" s="244" t="s">
        <v>897</v>
      </c>
      <c r="C10" s="244" t="s">
        <v>898</v>
      </c>
      <c r="D10" s="245" t="s">
        <v>899</v>
      </c>
      <c r="E10" s="242" t="s">
        <v>900</v>
      </c>
      <c r="F10" s="242" t="s">
        <v>901</v>
      </c>
      <c r="G10" s="242" t="s">
        <v>902</v>
      </c>
      <c r="H10" s="242" t="s">
        <v>903</v>
      </c>
    </row>
    <row r="11" spans="1:8">
      <c r="A11" s="243"/>
      <c r="B11" s="244"/>
      <c r="C11" s="244"/>
      <c r="D11" s="245"/>
      <c r="E11" s="242"/>
      <c r="F11" s="242"/>
      <c r="G11" s="242"/>
      <c r="H11" s="242"/>
    </row>
    <row r="12" spans="1:8">
      <c r="A12" s="178"/>
      <c r="B12" s="179"/>
      <c r="C12" s="180"/>
      <c r="D12" s="181"/>
      <c r="E12" s="182"/>
      <c r="F12" s="183"/>
      <c r="G12" s="184"/>
      <c r="H12" s="185"/>
    </row>
    <row r="13" spans="1:8">
      <c r="A13" s="186"/>
      <c r="B13" s="187"/>
      <c r="C13" s="188"/>
      <c r="D13" s="189"/>
      <c r="E13" s="190"/>
      <c r="F13" s="191"/>
      <c r="G13" s="192"/>
      <c r="H13" s="193"/>
    </row>
    <row r="14" spans="1:8">
      <c r="A14" s="186"/>
      <c r="B14" s="187"/>
      <c r="C14" s="188"/>
      <c r="D14" s="189"/>
      <c r="E14" s="190"/>
      <c r="F14" s="191"/>
      <c r="G14" s="192"/>
      <c r="H14" s="193"/>
    </row>
    <row r="15" spans="1:8">
      <c r="A15" s="186"/>
      <c r="B15" s="187"/>
      <c r="C15" s="188"/>
      <c r="D15" s="189"/>
      <c r="E15" s="190"/>
      <c r="F15" s="191"/>
      <c r="G15" s="192"/>
      <c r="H15" s="193"/>
    </row>
    <row r="16" spans="1:8">
      <c r="A16" s="186"/>
      <c r="B16" s="187"/>
      <c r="C16" s="188"/>
      <c r="D16" s="189"/>
      <c r="E16" s="190"/>
      <c r="F16" s="191"/>
      <c r="G16" s="192"/>
      <c r="H16" s="193"/>
    </row>
    <row r="17" spans="1:23">
      <c r="A17" s="186"/>
      <c r="B17" s="187"/>
      <c r="C17" s="188"/>
      <c r="D17" s="189"/>
      <c r="E17" s="190"/>
      <c r="F17" s="191"/>
      <c r="G17" s="192"/>
      <c r="H17" s="193"/>
    </row>
    <row r="18" spans="1:23">
      <c r="A18" s="186"/>
      <c r="B18" s="187"/>
      <c r="C18" s="188"/>
      <c r="D18" s="189"/>
      <c r="E18" s="190"/>
      <c r="F18" s="191"/>
      <c r="G18" s="192"/>
      <c r="H18" s="193"/>
    </row>
    <row r="19" spans="1:23">
      <c r="A19" s="186"/>
      <c r="B19" s="187"/>
      <c r="C19" s="188"/>
      <c r="D19" s="189"/>
      <c r="E19" s="190"/>
      <c r="F19" s="191"/>
      <c r="G19" s="192"/>
      <c r="H19" s="193"/>
    </row>
    <row r="20" spans="1:23">
      <c r="A20" s="194"/>
      <c r="B20" s="195"/>
      <c r="C20" s="196"/>
      <c r="D20" s="197"/>
      <c r="E20" s="198"/>
      <c r="F20" s="199"/>
      <c r="G20" s="200"/>
      <c r="H20" s="201"/>
    </row>
    <row r="21" spans="1:23">
      <c r="F21" s="202"/>
      <c r="G21" s="202"/>
      <c r="H21" s="202"/>
    </row>
    <row r="23" spans="1:23">
      <c r="A23" s="203" t="s">
        <v>904</v>
      </c>
      <c r="B23" s="204"/>
      <c r="C23" s="205"/>
      <c r="D23" s="205"/>
      <c r="E23" s="205"/>
      <c r="F23" s="205"/>
      <c r="G23" s="206" t="s">
        <v>905</v>
      </c>
      <c r="H23" s="205"/>
      <c r="I23" s="205"/>
      <c r="J23" s="205"/>
      <c r="K23" s="205"/>
      <c r="L23" s="205"/>
      <c r="M23" s="205"/>
      <c r="N23" s="205"/>
      <c r="O23" s="205"/>
      <c r="Q23" s="207"/>
      <c r="R23" s="207"/>
      <c r="S23" s="207"/>
      <c r="T23" s="207"/>
      <c r="U23" s="208"/>
      <c r="V23" s="208"/>
      <c r="W23" s="208"/>
    </row>
    <row r="24" spans="1:23">
      <c r="A24" s="203"/>
      <c r="B24" s="204"/>
      <c r="C24" s="205"/>
      <c r="D24" s="205"/>
      <c r="E24" s="205"/>
      <c r="F24" s="205"/>
      <c r="G24" s="206"/>
      <c r="H24" s="205"/>
      <c r="I24" s="205"/>
      <c r="J24" s="205"/>
      <c r="K24" s="205"/>
      <c r="L24" s="205"/>
      <c r="M24" s="205"/>
      <c r="N24" s="205"/>
      <c r="O24" s="205"/>
      <c r="Q24" s="207"/>
      <c r="R24" s="207"/>
      <c r="S24" s="207"/>
      <c r="T24" s="207"/>
      <c r="U24" s="208"/>
      <c r="V24" s="208"/>
      <c r="W24" s="208"/>
    </row>
    <row r="25" spans="1:23">
      <c r="A25" s="203"/>
      <c r="B25" s="204"/>
      <c r="C25" s="205"/>
      <c r="D25" s="205"/>
      <c r="E25" s="205"/>
      <c r="F25" s="205"/>
      <c r="G25" s="206"/>
      <c r="H25" s="205"/>
      <c r="I25" s="205"/>
      <c r="J25" s="205"/>
      <c r="K25" s="205"/>
      <c r="L25" s="205"/>
      <c r="M25" s="205"/>
      <c r="N25" s="205"/>
      <c r="O25" s="205"/>
      <c r="Q25" s="207"/>
      <c r="R25" s="207"/>
      <c r="S25" s="207"/>
      <c r="T25" s="207"/>
      <c r="U25" s="208"/>
      <c r="V25" s="208"/>
      <c r="W25" s="208"/>
    </row>
    <row r="26" spans="1:23">
      <c r="A26" s="203"/>
      <c r="B26" s="204"/>
      <c r="C26" s="205"/>
      <c r="D26" s="205"/>
      <c r="E26" s="205"/>
      <c r="F26" s="205"/>
      <c r="G26" s="206"/>
      <c r="H26" s="205"/>
      <c r="I26" s="205"/>
      <c r="J26" s="205"/>
      <c r="K26" s="205"/>
      <c r="L26" s="205"/>
      <c r="M26" s="205"/>
      <c r="N26" s="205"/>
      <c r="O26" s="205"/>
      <c r="Q26" s="207"/>
      <c r="R26" s="207"/>
      <c r="S26" s="207"/>
      <c r="T26" s="207"/>
      <c r="U26" s="208"/>
      <c r="V26" s="208"/>
      <c r="W26" s="208"/>
    </row>
    <row r="27" spans="1:23">
      <c r="A27" s="209" t="s">
        <v>906</v>
      </c>
    </row>
  </sheetData>
  <mergeCells count="8">
    <mergeCell ref="F10:F11"/>
    <mergeCell ref="G10:G11"/>
    <mergeCell ref="H10:H11"/>
    <mergeCell ref="A10:A11"/>
    <mergeCell ref="B10:B11"/>
    <mergeCell ref="C10:C11"/>
    <mergeCell ref="D10:D11"/>
    <mergeCell ref="E10:E11"/>
  </mergeCell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502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14.4" zeroHeight="1"/>
  <cols>
    <col min="1" max="1" width="11.5546875" customWidth="1"/>
    <col min="2" max="2" width="32.109375" customWidth="1"/>
    <col min="3" max="3" width="11.33203125" customWidth="1"/>
    <col min="4" max="4" width="25.44140625" customWidth="1"/>
    <col min="5" max="5" width="16.44140625" customWidth="1"/>
    <col min="6" max="6" width="27.109375" customWidth="1"/>
    <col min="7" max="7" width="16.44140625" style="52" customWidth="1"/>
    <col min="8" max="8" width="15.6640625" style="52" customWidth="1"/>
    <col min="9" max="9" width="15.109375" style="52" customWidth="1"/>
    <col min="10" max="10" width="33.6640625" style="52" customWidth="1"/>
    <col min="11" max="12" width="9.5546875" style="52" customWidth="1"/>
    <col min="13" max="13" width="15.109375" style="52" customWidth="1"/>
    <col min="14" max="14" width="18.33203125" style="52" customWidth="1"/>
    <col min="15" max="15" width="9.109375" customWidth="1"/>
    <col min="16" max="18" width="9.109375" hidden="1" customWidth="1"/>
    <col min="19" max="19" width="46.5546875" hidden="1" customWidth="1"/>
    <col min="20" max="21" width="9.109375" hidden="1" customWidth="1"/>
    <col min="22" max="22" width="58.88671875" hidden="1" customWidth="1"/>
    <col min="23" max="28" width="11.5546875" hidden="1"/>
    <col min="29" max="1025" width="9.109375" hidden="1" customWidth="1"/>
  </cols>
  <sheetData>
    <row r="1" spans="1:28" ht="35.25" customHeight="1">
      <c r="A1" s="246" t="s">
        <v>907</v>
      </c>
      <c r="B1" s="246"/>
      <c r="C1" s="53" t="str">
        <f>IF('Opći dio'!C3="odaberite -","Molimo odaberite proračunskog korisnika na radnom listu Opći podaci!","")</f>
        <v/>
      </c>
    </row>
    <row r="2" spans="1:28" ht="57.6">
      <c r="A2" s="55" t="s">
        <v>543</v>
      </c>
      <c r="B2" s="54" t="s">
        <v>453</v>
      </c>
      <c r="C2" s="55" t="s">
        <v>454</v>
      </c>
      <c r="D2" s="54" t="s">
        <v>455</v>
      </c>
      <c r="E2" s="55" t="s">
        <v>908</v>
      </c>
      <c r="F2" s="54" t="s">
        <v>545</v>
      </c>
      <c r="G2" s="210" t="s">
        <v>42</v>
      </c>
      <c r="H2" s="210" t="s">
        <v>43</v>
      </c>
      <c r="I2" s="210" t="s">
        <v>44</v>
      </c>
      <c r="J2" s="210" t="s">
        <v>909</v>
      </c>
      <c r="K2" s="210" t="s">
        <v>910</v>
      </c>
      <c r="L2" s="210" t="s">
        <v>911</v>
      </c>
      <c r="M2" s="210" t="s">
        <v>912</v>
      </c>
      <c r="N2" s="210" t="s">
        <v>913</v>
      </c>
      <c r="P2" s="57" t="s">
        <v>456</v>
      </c>
      <c r="Q2" s="57" t="s">
        <v>457</v>
      </c>
    </row>
    <row r="3" spans="1:28">
      <c r="A3" s="74"/>
      <c r="B3" s="59" t="str">
        <f t="shared" ref="B3:B66" si="0">IFERROR(VLOOKUP(A3,$R$6:$S$16,2,0),"")</f>
        <v/>
      </c>
      <c r="C3" s="74"/>
      <c r="D3" s="59" t="str">
        <f t="shared" ref="D3:D66" si="1">IFERROR(VLOOKUP(C3,$U$5:$W$129,2,0),"")</f>
        <v/>
      </c>
      <c r="E3" s="75"/>
      <c r="F3" s="59" t="str">
        <f t="shared" ref="F3:F66" si="2">IFERROR(VLOOKUP(E3,$AA$6:$AB$200,2,0),"")</f>
        <v/>
      </c>
      <c r="G3" s="64"/>
      <c r="H3" s="64"/>
      <c r="I3" s="64"/>
      <c r="J3" s="211"/>
      <c r="K3" s="212"/>
      <c r="L3" s="212"/>
      <c r="M3" s="211"/>
      <c r="N3" s="211"/>
      <c r="P3" t="str">
        <f t="shared" ref="P3:P66" si="3">LEFT(C3,3)</f>
        <v/>
      </c>
      <c r="Q3" t="str">
        <f t="shared" ref="Q3:Q66" si="4">LEFT(C3,2)</f>
        <v/>
      </c>
    </row>
    <row r="4" spans="1:28">
      <c r="A4" s="74"/>
      <c r="B4" s="59" t="str">
        <f t="shared" si="0"/>
        <v/>
      </c>
      <c r="C4" s="74"/>
      <c r="D4" s="59" t="str">
        <f t="shared" si="1"/>
        <v/>
      </c>
      <c r="E4" s="75"/>
      <c r="F4" s="59" t="str">
        <f t="shared" si="2"/>
        <v/>
      </c>
      <c r="G4" s="64"/>
      <c r="H4" s="64"/>
      <c r="I4" s="64"/>
      <c r="J4" s="211"/>
      <c r="K4" s="212"/>
      <c r="L4" s="212"/>
      <c r="M4" s="211"/>
      <c r="N4" s="211"/>
      <c r="P4" t="str">
        <f t="shared" si="3"/>
        <v/>
      </c>
      <c r="Q4" t="str">
        <f t="shared" si="4"/>
        <v/>
      </c>
      <c r="U4" s="76"/>
      <c r="V4" s="76"/>
    </row>
    <row r="5" spans="1:28">
      <c r="A5" s="74"/>
      <c r="B5" s="59" t="str">
        <f t="shared" si="0"/>
        <v/>
      </c>
      <c r="C5" s="74"/>
      <c r="D5" s="59" t="str">
        <f t="shared" si="1"/>
        <v/>
      </c>
      <c r="E5" s="75"/>
      <c r="F5" s="59" t="str">
        <f t="shared" si="2"/>
        <v/>
      </c>
      <c r="G5" s="64"/>
      <c r="H5" s="64"/>
      <c r="I5" s="64"/>
      <c r="J5" s="211"/>
      <c r="K5" s="212"/>
      <c r="L5" s="212"/>
      <c r="M5" s="211"/>
      <c r="N5" s="211"/>
      <c r="P5" t="str">
        <f t="shared" si="3"/>
        <v/>
      </c>
      <c r="Q5" t="str">
        <f t="shared" si="4"/>
        <v/>
      </c>
      <c r="R5" t="s">
        <v>452</v>
      </c>
      <c r="S5" t="s">
        <v>453</v>
      </c>
      <c r="U5">
        <v>3111</v>
      </c>
      <c r="V5" t="s">
        <v>547</v>
      </c>
      <c r="X5" t="str">
        <f t="shared" ref="X5:X36" si="5">LEFT(U5,2)</f>
        <v>31</v>
      </c>
      <c r="Y5" t="str">
        <f t="shared" ref="Y5:Y36" si="6">LEFT(U5,3)</f>
        <v>311</v>
      </c>
      <c r="AA5" t="s">
        <v>548</v>
      </c>
      <c r="AB5" t="s">
        <v>545</v>
      </c>
    </row>
    <row r="6" spans="1:28">
      <c r="A6" s="74"/>
      <c r="B6" s="59" t="str">
        <f t="shared" si="0"/>
        <v/>
      </c>
      <c r="C6" s="74"/>
      <c r="D6" s="59" t="str">
        <f t="shared" si="1"/>
        <v/>
      </c>
      <c r="E6" s="75"/>
      <c r="F6" s="59" t="str">
        <f t="shared" si="2"/>
        <v/>
      </c>
      <c r="G6" s="64"/>
      <c r="H6" s="64"/>
      <c r="I6" s="64"/>
      <c r="J6" s="211"/>
      <c r="K6" s="212"/>
      <c r="L6" s="212"/>
      <c r="M6" s="211"/>
      <c r="N6" s="211"/>
      <c r="P6" t="str">
        <f t="shared" si="3"/>
        <v/>
      </c>
      <c r="Q6" t="str">
        <f t="shared" si="4"/>
        <v/>
      </c>
      <c r="R6">
        <v>11</v>
      </c>
      <c r="S6" t="s">
        <v>465</v>
      </c>
      <c r="U6">
        <v>3112</v>
      </c>
      <c r="V6" t="s">
        <v>550</v>
      </c>
      <c r="X6" t="str">
        <f t="shared" si="5"/>
        <v>31</v>
      </c>
      <c r="Y6" t="str">
        <f t="shared" si="6"/>
        <v>311</v>
      </c>
      <c r="AA6" t="s">
        <v>914</v>
      </c>
      <c r="AB6" t="s">
        <v>914</v>
      </c>
    </row>
    <row r="7" spans="1:28">
      <c r="A7" s="74"/>
      <c r="B7" s="59" t="str">
        <f t="shared" si="0"/>
        <v/>
      </c>
      <c r="C7" s="74"/>
      <c r="D7" s="59" t="str">
        <f t="shared" si="1"/>
        <v/>
      </c>
      <c r="E7" s="75"/>
      <c r="F7" s="59" t="str">
        <f t="shared" si="2"/>
        <v/>
      </c>
      <c r="G7" s="64"/>
      <c r="H7" s="64"/>
      <c r="I7" s="64"/>
      <c r="J7" s="211"/>
      <c r="K7" s="212"/>
      <c r="L7" s="212"/>
      <c r="M7" s="211"/>
      <c r="N7" s="211"/>
      <c r="P7" t="str">
        <f t="shared" si="3"/>
        <v/>
      </c>
      <c r="Q7" t="str">
        <f t="shared" si="4"/>
        <v/>
      </c>
      <c r="R7">
        <v>12</v>
      </c>
      <c r="S7" t="s">
        <v>467</v>
      </c>
      <c r="U7">
        <v>3113</v>
      </c>
      <c r="V7" t="s">
        <v>553</v>
      </c>
      <c r="X7" t="str">
        <f t="shared" si="5"/>
        <v>31</v>
      </c>
      <c r="Y7" t="str">
        <f t="shared" si="6"/>
        <v>311</v>
      </c>
      <c r="AA7" t="s">
        <v>915</v>
      </c>
      <c r="AB7" t="s">
        <v>916</v>
      </c>
    </row>
    <row r="8" spans="1:28">
      <c r="A8" s="74"/>
      <c r="B8" s="59" t="str">
        <f t="shared" si="0"/>
        <v/>
      </c>
      <c r="C8" s="74"/>
      <c r="D8" s="59" t="str">
        <f t="shared" si="1"/>
        <v/>
      </c>
      <c r="E8" s="75"/>
      <c r="F8" s="59" t="str">
        <f t="shared" si="2"/>
        <v/>
      </c>
      <c r="G8" s="64"/>
      <c r="H8" s="64"/>
      <c r="I8" s="64"/>
      <c r="J8" s="211"/>
      <c r="K8" s="212"/>
      <c r="L8" s="212"/>
      <c r="M8" s="211"/>
      <c r="N8" s="211"/>
      <c r="P8" t="str">
        <f t="shared" si="3"/>
        <v/>
      </c>
      <c r="Q8" t="str">
        <f t="shared" si="4"/>
        <v/>
      </c>
      <c r="R8">
        <v>31</v>
      </c>
      <c r="S8" t="s">
        <v>468</v>
      </c>
      <c r="U8">
        <v>3114</v>
      </c>
      <c r="V8" t="s">
        <v>556</v>
      </c>
      <c r="X8" t="str">
        <f t="shared" si="5"/>
        <v>31</v>
      </c>
      <c r="Y8" t="str">
        <f t="shared" si="6"/>
        <v>311</v>
      </c>
      <c r="AA8" t="s">
        <v>917</v>
      </c>
      <c r="AB8" t="s">
        <v>918</v>
      </c>
    </row>
    <row r="9" spans="1:28">
      <c r="A9" s="74"/>
      <c r="B9" s="59" t="str">
        <f t="shared" si="0"/>
        <v/>
      </c>
      <c r="C9" s="74"/>
      <c r="D9" s="59" t="str">
        <f t="shared" si="1"/>
        <v/>
      </c>
      <c r="E9" s="75"/>
      <c r="F9" s="59" t="str">
        <f t="shared" si="2"/>
        <v/>
      </c>
      <c r="G9" s="64"/>
      <c r="H9" s="64"/>
      <c r="I9" s="64"/>
      <c r="J9" s="211"/>
      <c r="K9" s="212"/>
      <c r="L9" s="212"/>
      <c r="M9" s="211"/>
      <c r="N9" s="211"/>
      <c r="P9" t="str">
        <f t="shared" si="3"/>
        <v/>
      </c>
      <c r="Q9" t="str">
        <f t="shared" si="4"/>
        <v/>
      </c>
      <c r="R9">
        <v>43</v>
      </c>
      <c r="S9" t="s">
        <v>471</v>
      </c>
      <c r="U9">
        <v>3121</v>
      </c>
      <c r="V9" t="s">
        <v>559</v>
      </c>
      <c r="X9" t="str">
        <f t="shared" si="5"/>
        <v>31</v>
      </c>
      <c r="Y9" t="str">
        <f t="shared" si="6"/>
        <v>312</v>
      </c>
      <c r="AA9" t="s">
        <v>919</v>
      </c>
      <c r="AB9" t="s">
        <v>920</v>
      </c>
    </row>
    <row r="10" spans="1:28">
      <c r="A10" s="74"/>
      <c r="B10" s="59" t="str">
        <f t="shared" si="0"/>
        <v/>
      </c>
      <c r="C10" s="74"/>
      <c r="D10" s="59" t="str">
        <f t="shared" si="1"/>
        <v/>
      </c>
      <c r="E10" s="75"/>
      <c r="F10" s="59" t="str">
        <f t="shared" si="2"/>
        <v/>
      </c>
      <c r="G10" s="64"/>
      <c r="H10" s="64"/>
      <c r="I10" s="64"/>
      <c r="J10" s="211"/>
      <c r="K10" s="212"/>
      <c r="L10" s="212"/>
      <c r="M10" s="211"/>
      <c r="N10" s="211"/>
      <c r="P10" t="str">
        <f t="shared" si="3"/>
        <v/>
      </c>
      <c r="Q10" t="str">
        <f t="shared" si="4"/>
        <v/>
      </c>
      <c r="R10">
        <v>51</v>
      </c>
      <c r="S10" t="s">
        <v>473</v>
      </c>
      <c r="U10" s="77">
        <v>3132</v>
      </c>
      <c r="V10" s="77" t="s">
        <v>562</v>
      </c>
      <c r="W10" s="77"/>
      <c r="X10" s="77" t="str">
        <f t="shared" si="5"/>
        <v>31</v>
      </c>
      <c r="Y10" s="77" t="str">
        <f t="shared" si="6"/>
        <v>313</v>
      </c>
      <c r="AA10" t="s">
        <v>921</v>
      </c>
      <c r="AB10" t="s">
        <v>922</v>
      </c>
    </row>
    <row r="11" spans="1:28">
      <c r="A11" s="74"/>
      <c r="B11" s="59" t="str">
        <f t="shared" si="0"/>
        <v/>
      </c>
      <c r="C11" s="74"/>
      <c r="D11" s="59" t="str">
        <f t="shared" si="1"/>
        <v/>
      </c>
      <c r="E11" s="75"/>
      <c r="F11" s="59" t="str">
        <f t="shared" si="2"/>
        <v/>
      </c>
      <c r="G11" s="64"/>
      <c r="H11" s="64"/>
      <c r="I11" s="64"/>
      <c r="J11" s="211"/>
      <c r="K11" s="212"/>
      <c r="L11" s="212"/>
      <c r="M11" s="211"/>
      <c r="N11" s="211"/>
      <c r="P11" t="str">
        <f t="shared" si="3"/>
        <v/>
      </c>
      <c r="Q11" t="str">
        <f t="shared" si="4"/>
        <v/>
      </c>
      <c r="R11">
        <v>52</v>
      </c>
      <c r="S11" t="s">
        <v>470</v>
      </c>
      <c r="U11">
        <v>3211</v>
      </c>
      <c r="V11" t="s">
        <v>565</v>
      </c>
      <c r="X11" t="str">
        <f t="shared" si="5"/>
        <v>32</v>
      </c>
      <c r="Y11" t="str">
        <f t="shared" si="6"/>
        <v>321</v>
      </c>
      <c r="AA11" t="s">
        <v>923</v>
      </c>
      <c r="AB11" t="s">
        <v>924</v>
      </c>
    </row>
    <row r="12" spans="1:28">
      <c r="A12" s="74"/>
      <c r="B12" s="59" t="str">
        <f t="shared" si="0"/>
        <v/>
      </c>
      <c r="C12" s="74"/>
      <c r="D12" s="59" t="str">
        <f t="shared" si="1"/>
        <v/>
      </c>
      <c r="E12" s="75"/>
      <c r="F12" s="59" t="str">
        <f t="shared" si="2"/>
        <v/>
      </c>
      <c r="G12" s="64"/>
      <c r="H12" s="64"/>
      <c r="I12" s="64"/>
      <c r="J12" s="211"/>
      <c r="K12" s="212"/>
      <c r="L12" s="212"/>
      <c r="M12" s="211"/>
      <c r="N12" s="211"/>
      <c r="P12" t="str">
        <f t="shared" si="3"/>
        <v/>
      </c>
      <c r="Q12" t="str">
        <f t="shared" si="4"/>
        <v/>
      </c>
      <c r="R12">
        <v>61</v>
      </c>
      <c r="S12" t="s">
        <v>476</v>
      </c>
      <c r="U12">
        <v>3212</v>
      </c>
      <c r="V12" t="s">
        <v>568</v>
      </c>
      <c r="X12" t="str">
        <f t="shared" si="5"/>
        <v>32</v>
      </c>
      <c r="Y12" t="str">
        <f t="shared" si="6"/>
        <v>321</v>
      </c>
      <c r="AA12" t="s">
        <v>925</v>
      </c>
      <c r="AB12" t="s">
        <v>926</v>
      </c>
    </row>
    <row r="13" spans="1:28">
      <c r="A13" s="74"/>
      <c r="B13" s="59" t="str">
        <f t="shared" si="0"/>
        <v/>
      </c>
      <c r="C13" s="74"/>
      <c r="D13" s="59" t="str">
        <f t="shared" si="1"/>
        <v/>
      </c>
      <c r="E13" s="75"/>
      <c r="F13" s="59" t="str">
        <f t="shared" si="2"/>
        <v/>
      </c>
      <c r="G13" s="64"/>
      <c r="H13" s="64"/>
      <c r="I13" s="64"/>
      <c r="J13" s="211"/>
      <c r="K13" s="212"/>
      <c r="L13" s="212"/>
      <c r="M13" s="211"/>
      <c r="N13" s="211"/>
      <c r="P13" t="str">
        <f t="shared" si="3"/>
        <v/>
      </c>
      <c r="Q13" t="str">
        <f t="shared" si="4"/>
        <v/>
      </c>
      <c r="R13">
        <v>71</v>
      </c>
      <c r="S13" t="s">
        <v>478</v>
      </c>
      <c r="U13">
        <v>3213</v>
      </c>
      <c r="V13" t="s">
        <v>571</v>
      </c>
      <c r="X13" t="str">
        <f t="shared" si="5"/>
        <v>32</v>
      </c>
      <c r="Y13" t="str">
        <f t="shared" si="6"/>
        <v>321</v>
      </c>
      <c r="AA13" t="s">
        <v>927</v>
      </c>
      <c r="AB13" t="s">
        <v>928</v>
      </c>
    </row>
    <row r="14" spans="1:28">
      <c r="A14" s="74"/>
      <c r="B14" s="59" t="str">
        <f t="shared" si="0"/>
        <v/>
      </c>
      <c r="C14" s="74"/>
      <c r="D14" s="59" t="str">
        <f t="shared" si="1"/>
        <v/>
      </c>
      <c r="E14" s="75"/>
      <c r="F14" s="59" t="str">
        <f t="shared" si="2"/>
        <v/>
      </c>
      <c r="G14" s="64"/>
      <c r="H14" s="64"/>
      <c r="I14" s="64"/>
      <c r="J14" s="211"/>
      <c r="K14" s="212"/>
      <c r="L14" s="212"/>
      <c r="M14" s="211"/>
      <c r="N14" s="211"/>
      <c r="P14" t="str">
        <f t="shared" si="3"/>
        <v/>
      </c>
      <c r="Q14" t="str">
        <f t="shared" si="4"/>
        <v/>
      </c>
      <c r="R14">
        <v>81</v>
      </c>
      <c r="S14" t="s">
        <v>480</v>
      </c>
      <c r="U14">
        <v>3214</v>
      </c>
      <c r="V14" t="s">
        <v>574</v>
      </c>
      <c r="X14" t="str">
        <f t="shared" si="5"/>
        <v>32</v>
      </c>
      <c r="Y14" t="str">
        <f t="shared" si="6"/>
        <v>321</v>
      </c>
      <c r="AA14" t="s">
        <v>929</v>
      </c>
      <c r="AB14" t="s">
        <v>930</v>
      </c>
    </row>
    <row r="15" spans="1:28">
      <c r="A15" s="74"/>
      <c r="B15" s="59" t="str">
        <f t="shared" si="0"/>
        <v/>
      </c>
      <c r="C15" s="74"/>
      <c r="D15" s="59" t="str">
        <f t="shared" si="1"/>
        <v/>
      </c>
      <c r="E15" s="75"/>
      <c r="F15" s="59" t="str">
        <f t="shared" si="2"/>
        <v/>
      </c>
      <c r="G15" s="64"/>
      <c r="H15" s="64"/>
      <c r="I15" s="64"/>
      <c r="J15" s="211"/>
      <c r="K15" s="212"/>
      <c r="L15" s="212"/>
      <c r="M15" s="211"/>
      <c r="N15" s="211"/>
      <c r="P15" t="str">
        <f t="shared" si="3"/>
        <v/>
      </c>
      <c r="Q15" t="str">
        <f t="shared" si="4"/>
        <v/>
      </c>
      <c r="R15">
        <v>561</v>
      </c>
      <c r="S15" t="s">
        <v>482</v>
      </c>
      <c r="U15">
        <v>3221</v>
      </c>
      <c r="V15" t="s">
        <v>577</v>
      </c>
      <c r="X15" t="str">
        <f t="shared" si="5"/>
        <v>32</v>
      </c>
      <c r="Y15" t="str">
        <f t="shared" si="6"/>
        <v>322</v>
      </c>
      <c r="AA15" t="s">
        <v>931</v>
      </c>
      <c r="AB15" t="s">
        <v>932</v>
      </c>
    </row>
    <row r="16" spans="1:28">
      <c r="A16" s="74"/>
      <c r="B16" s="59" t="str">
        <f t="shared" si="0"/>
        <v/>
      </c>
      <c r="C16" s="74"/>
      <c r="D16" s="59" t="str">
        <f t="shared" si="1"/>
        <v/>
      </c>
      <c r="E16" s="75"/>
      <c r="F16" s="59" t="str">
        <f t="shared" si="2"/>
        <v/>
      </c>
      <c r="G16" s="64"/>
      <c r="H16" s="64"/>
      <c r="I16" s="64"/>
      <c r="J16" s="211"/>
      <c r="K16" s="212"/>
      <c r="L16" s="212"/>
      <c r="M16" s="211"/>
      <c r="N16" s="211"/>
      <c r="P16" t="str">
        <f t="shared" si="3"/>
        <v/>
      </c>
      <c r="Q16" t="str">
        <f t="shared" si="4"/>
        <v/>
      </c>
      <c r="R16">
        <v>563</v>
      </c>
      <c r="S16" t="s">
        <v>484</v>
      </c>
      <c r="U16">
        <v>3222</v>
      </c>
      <c r="V16" t="s">
        <v>580</v>
      </c>
      <c r="X16" t="str">
        <f t="shared" si="5"/>
        <v>32</v>
      </c>
      <c r="Y16" t="str">
        <f t="shared" si="6"/>
        <v>322</v>
      </c>
      <c r="AA16" t="s">
        <v>933</v>
      </c>
      <c r="AB16" t="s">
        <v>934</v>
      </c>
    </row>
    <row r="17" spans="1:28">
      <c r="A17" s="74"/>
      <c r="B17" s="59" t="str">
        <f t="shared" si="0"/>
        <v/>
      </c>
      <c r="C17" s="74"/>
      <c r="D17" s="59" t="str">
        <f t="shared" si="1"/>
        <v/>
      </c>
      <c r="E17" s="75"/>
      <c r="F17" s="59" t="str">
        <f t="shared" si="2"/>
        <v/>
      </c>
      <c r="G17" s="64"/>
      <c r="H17" s="64"/>
      <c r="I17" s="64"/>
      <c r="J17" s="211"/>
      <c r="K17" s="212"/>
      <c r="L17" s="212"/>
      <c r="M17" s="211"/>
      <c r="N17" s="211"/>
      <c r="P17" t="str">
        <f t="shared" si="3"/>
        <v/>
      </c>
      <c r="Q17" t="str">
        <f t="shared" si="4"/>
        <v/>
      </c>
      <c r="U17">
        <v>3223</v>
      </c>
      <c r="V17" t="s">
        <v>583</v>
      </c>
      <c r="X17" t="str">
        <f t="shared" si="5"/>
        <v>32</v>
      </c>
      <c r="Y17" t="str">
        <f t="shared" si="6"/>
        <v>322</v>
      </c>
      <c r="AA17" t="s">
        <v>935</v>
      </c>
      <c r="AB17" t="s">
        <v>936</v>
      </c>
    </row>
    <row r="18" spans="1:28">
      <c r="A18" s="74"/>
      <c r="B18" s="59" t="str">
        <f t="shared" si="0"/>
        <v/>
      </c>
      <c r="C18" s="74"/>
      <c r="D18" s="59" t="str">
        <f t="shared" si="1"/>
        <v/>
      </c>
      <c r="E18" s="75"/>
      <c r="F18" s="59" t="str">
        <f t="shared" si="2"/>
        <v/>
      </c>
      <c r="G18" s="64"/>
      <c r="H18" s="64"/>
      <c r="I18" s="64"/>
      <c r="J18" s="211"/>
      <c r="K18" s="212"/>
      <c r="L18" s="212"/>
      <c r="M18" s="211"/>
      <c r="N18" s="211"/>
      <c r="P18" t="str">
        <f t="shared" si="3"/>
        <v/>
      </c>
      <c r="Q18" t="str">
        <f t="shared" si="4"/>
        <v/>
      </c>
      <c r="U18">
        <v>3224</v>
      </c>
      <c r="V18" t="s">
        <v>586</v>
      </c>
      <c r="X18" t="str">
        <f t="shared" si="5"/>
        <v>32</v>
      </c>
      <c r="Y18" t="str">
        <f t="shared" si="6"/>
        <v>322</v>
      </c>
      <c r="AA18" t="s">
        <v>937</v>
      </c>
      <c r="AB18" t="s">
        <v>938</v>
      </c>
    </row>
    <row r="19" spans="1:28">
      <c r="A19" s="74"/>
      <c r="B19" s="59" t="str">
        <f t="shared" si="0"/>
        <v/>
      </c>
      <c r="C19" s="74"/>
      <c r="D19" s="59" t="str">
        <f t="shared" si="1"/>
        <v/>
      </c>
      <c r="E19" s="75"/>
      <c r="F19" s="59" t="str">
        <f t="shared" si="2"/>
        <v/>
      </c>
      <c r="G19" s="64"/>
      <c r="H19" s="64"/>
      <c r="I19" s="64"/>
      <c r="J19" s="211"/>
      <c r="K19" s="212"/>
      <c r="L19" s="212"/>
      <c r="M19" s="211"/>
      <c r="N19" s="211"/>
      <c r="P19" t="str">
        <f t="shared" si="3"/>
        <v/>
      </c>
      <c r="Q19" t="str">
        <f t="shared" si="4"/>
        <v/>
      </c>
      <c r="U19">
        <v>3225</v>
      </c>
      <c r="V19" t="s">
        <v>589</v>
      </c>
      <c r="X19" t="str">
        <f t="shared" si="5"/>
        <v>32</v>
      </c>
      <c r="Y19" t="str">
        <f t="shared" si="6"/>
        <v>322</v>
      </c>
      <c r="AA19" t="s">
        <v>939</v>
      </c>
      <c r="AB19" t="s">
        <v>940</v>
      </c>
    </row>
    <row r="20" spans="1:28">
      <c r="A20" s="74"/>
      <c r="B20" s="59" t="str">
        <f t="shared" si="0"/>
        <v/>
      </c>
      <c r="C20" s="74"/>
      <c r="D20" s="59" t="str">
        <f t="shared" si="1"/>
        <v/>
      </c>
      <c r="E20" s="75"/>
      <c r="F20" s="59" t="str">
        <f t="shared" si="2"/>
        <v/>
      </c>
      <c r="G20" s="64"/>
      <c r="H20" s="64"/>
      <c r="I20" s="64"/>
      <c r="J20" s="211"/>
      <c r="K20" s="212"/>
      <c r="L20" s="212"/>
      <c r="M20" s="211"/>
      <c r="N20" s="211"/>
      <c r="P20" t="str">
        <f t="shared" si="3"/>
        <v/>
      </c>
      <c r="Q20" t="str">
        <f t="shared" si="4"/>
        <v/>
      </c>
      <c r="U20">
        <v>3226</v>
      </c>
      <c r="V20" t="s">
        <v>592</v>
      </c>
      <c r="X20" t="str">
        <f t="shared" si="5"/>
        <v>32</v>
      </c>
      <c r="Y20" t="str">
        <f t="shared" si="6"/>
        <v>322</v>
      </c>
      <c r="AA20" t="s">
        <v>941</v>
      </c>
      <c r="AB20" t="s">
        <v>942</v>
      </c>
    </row>
    <row r="21" spans="1:28">
      <c r="A21" s="74"/>
      <c r="B21" s="59" t="str">
        <f t="shared" si="0"/>
        <v/>
      </c>
      <c r="C21" s="74"/>
      <c r="D21" s="59" t="str">
        <f t="shared" si="1"/>
        <v/>
      </c>
      <c r="E21" s="75"/>
      <c r="F21" s="59" t="str">
        <f t="shared" si="2"/>
        <v/>
      </c>
      <c r="G21" s="64"/>
      <c r="H21" s="64"/>
      <c r="I21" s="64"/>
      <c r="J21" s="211"/>
      <c r="K21" s="212"/>
      <c r="L21" s="212"/>
      <c r="M21" s="211"/>
      <c r="N21" s="211"/>
      <c r="P21" t="str">
        <f t="shared" si="3"/>
        <v/>
      </c>
      <c r="Q21" t="str">
        <f t="shared" si="4"/>
        <v/>
      </c>
      <c r="U21">
        <v>3227</v>
      </c>
      <c r="V21" t="s">
        <v>595</v>
      </c>
      <c r="X21" t="str">
        <f t="shared" si="5"/>
        <v>32</v>
      </c>
      <c r="Y21" t="str">
        <f t="shared" si="6"/>
        <v>322</v>
      </c>
      <c r="AA21" t="s">
        <v>943</v>
      </c>
      <c r="AB21" t="s">
        <v>944</v>
      </c>
    </row>
    <row r="22" spans="1:28">
      <c r="A22" s="74"/>
      <c r="B22" s="59" t="str">
        <f t="shared" si="0"/>
        <v/>
      </c>
      <c r="C22" s="74"/>
      <c r="D22" s="59" t="str">
        <f t="shared" si="1"/>
        <v/>
      </c>
      <c r="E22" s="75"/>
      <c r="F22" s="59" t="str">
        <f t="shared" si="2"/>
        <v/>
      </c>
      <c r="G22" s="64"/>
      <c r="H22" s="64"/>
      <c r="I22" s="64"/>
      <c r="J22" s="211"/>
      <c r="K22" s="212"/>
      <c r="L22" s="212"/>
      <c r="M22" s="211"/>
      <c r="N22" s="211"/>
      <c r="P22" t="str">
        <f t="shared" si="3"/>
        <v/>
      </c>
      <c r="Q22" t="str">
        <f t="shared" si="4"/>
        <v/>
      </c>
      <c r="U22">
        <v>3231</v>
      </c>
      <c r="V22" t="s">
        <v>598</v>
      </c>
      <c r="X22" t="str">
        <f t="shared" si="5"/>
        <v>32</v>
      </c>
      <c r="Y22" t="str">
        <f t="shared" si="6"/>
        <v>323</v>
      </c>
      <c r="AA22" t="s">
        <v>945</v>
      </c>
      <c r="AB22" t="s">
        <v>946</v>
      </c>
    </row>
    <row r="23" spans="1:28">
      <c r="A23" s="74"/>
      <c r="B23" s="59" t="str">
        <f t="shared" si="0"/>
        <v/>
      </c>
      <c r="C23" s="74"/>
      <c r="D23" s="59" t="str">
        <f t="shared" si="1"/>
        <v/>
      </c>
      <c r="E23" s="75"/>
      <c r="F23" s="59" t="str">
        <f t="shared" si="2"/>
        <v/>
      </c>
      <c r="G23" s="64"/>
      <c r="H23" s="64"/>
      <c r="I23" s="64"/>
      <c r="J23" s="211"/>
      <c r="K23" s="212"/>
      <c r="L23" s="212"/>
      <c r="M23" s="211"/>
      <c r="N23" s="211"/>
      <c r="P23" t="str">
        <f t="shared" si="3"/>
        <v/>
      </c>
      <c r="Q23" t="str">
        <f t="shared" si="4"/>
        <v/>
      </c>
      <c r="U23">
        <v>3232</v>
      </c>
      <c r="V23" t="s">
        <v>601</v>
      </c>
      <c r="X23" t="str">
        <f t="shared" si="5"/>
        <v>32</v>
      </c>
      <c r="Y23" t="str">
        <f t="shared" si="6"/>
        <v>323</v>
      </c>
      <c r="AA23" t="s">
        <v>947</v>
      </c>
      <c r="AB23" t="s">
        <v>948</v>
      </c>
    </row>
    <row r="24" spans="1:28">
      <c r="A24" s="74"/>
      <c r="B24" s="59" t="str">
        <f t="shared" si="0"/>
        <v/>
      </c>
      <c r="C24" s="74"/>
      <c r="D24" s="59" t="str">
        <f t="shared" si="1"/>
        <v/>
      </c>
      <c r="E24" s="75"/>
      <c r="F24" s="59" t="str">
        <f t="shared" si="2"/>
        <v/>
      </c>
      <c r="G24" s="64"/>
      <c r="H24" s="64"/>
      <c r="I24" s="64"/>
      <c r="J24" s="211"/>
      <c r="K24" s="212"/>
      <c r="L24" s="212"/>
      <c r="M24" s="211"/>
      <c r="N24" s="211"/>
      <c r="P24" t="str">
        <f t="shared" si="3"/>
        <v/>
      </c>
      <c r="Q24" t="str">
        <f t="shared" si="4"/>
        <v/>
      </c>
      <c r="U24">
        <v>3233</v>
      </c>
      <c r="V24" t="s">
        <v>604</v>
      </c>
      <c r="X24" t="str">
        <f t="shared" si="5"/>
        <v>32</v>
      </c>
      <c r="Y24" t="str">
        <f t="shared" si="6"/>
        <v>323</v>
      </c>
      <c r="AA24" t="s">
        <v>949</v>
      </c>
      <c r="AB24" t="s">
        <v>950</v>
      </c>
    </row>
    <row r="25" spans="1:28">
      <c r="A25" s="74"/>
      <c r="B25" s="59" t="str">
        <f t="shared" si="0"/>
        <v/>
      </c>
      <c r="C25" s="74"/>
      <c r="D25" s="59" t="str">
        <f t="shared" si="1"/>
        <v/>
      </c>
      <c r="E25" s="75"/>
      <c r="F25" s="59" t="str">
        <f t="shared" si="2"/>
        <v/>
      </c>
      <c r="G25" s="64"/>
      <c r="H25" s="64"/>
      <c r="I25" s="64"/>
      <c r="J25" s="211"/>
      <c r="K25" s="212"/>
      <c r="L25" s="212"/>
      <c r="M25" s="211"/>
      <c r="N25" s="211"/>
      <c r="P25" t="str">
        <f t="shared" si="3"/>
        <v/>
      </c>
      <c r="Q25" t="str">
        <f t="shared" si="4"/>
        <v/>
      </c>
      <c r="U25">
        <v>3234</v>
      </c>
      <c r="V25" t="s">
        <v>607</v>
      </c>
      <c r="X25" t="str">
        <f t="shared" si="5"/>
        <v>32</v>
      </c>
      <c r="Y25" t="str">
        <f t="shared" si="6"/>
        <v>323</v>
      </c>
      <c r="AA25" t="s">
        <v>951</v>
      </c>
      <c r="AB25" t="s">
        <v>952</v>
      </c>
    </row>
    <row r="26" spans="1:28">
      <c r="A26" s="74"/>
      <c r="B26" s="59" t="str">
        <f t="shared" si="0"/>
        <v/>
      </c>
      <c r="C26" s="74"/>
      <c r="D26" s="59" t="str">
        <f t="shared" si="1"/>
        <v/>
      </c>
      <c r="E26" s="75"/>
      <c r="F26" s="59" t="str">
        <f t="shared" si="2"/>
        <v/>
      </c>
      <c r="G26" s="64"/>
      <c r="H26" s="64"/>
      <c r="I26" s="64"/>
      <c r="J26" s="211"/>
      <c r="K26" s="212"/>
      <c r="L26" s="212"/>
      <c r="M26" s="211"/>
      <c r="N26" s="211"/>
      <c r="P26" t="str">
        <f t="shared" si="3"/>
        <v/>
      </c>
      <c r="Q26" t="str">
        <f t="shared" si="4"/>
        <v/>
      </c>
      <c r="U26">
        <v>3235</v>
      </c>
      <c r="V26" t="s">
        <v>610</v>
      </c>
      <c r="X26" t="str">
        <f t="shared" si="5"/>
        <v>32</v>
      </c>
      <c r="Y26" t="str">
        <f t="shared" si="6"/>
        <v>323</v>
      </c>
      <c r="AA26" t="s">
        <v>953</v>
      </c>
      <c r="AB26" t="s">
        <v>954</v>
      </c>
    </row>
    <row r="27" spans="1:28">
      <c r="A27" s="74"/>
      <c r="B27" s="59" t="str">
        <f t="shared" si="0"/>
        <v/>
      </c>
      <c r="C27" s="74"/>
      <c r="D27" s="59" t="str">
        <f t="shared" si="1"/>
        <v/>
      </c>
      <c r="E27" s="75"/>
      <c r="F27" s="59" t="str">
        <f t="shared" si="2"/>
        <v/>
      </c>
      <c r="G27" s="64"/>
      <c r="H27" s="64"/>
      <c r="I27" s="64"/>
      <c r="J27" s="211"/>
      <c r="K27" s="212"/>
      <c r="L27" s="212"/>
      <c r="M27" s="211"/>
      <c r="N27" s="211"/>
      <c r="P27" t="str">
        <f t="shared" si="3"/>
        <v/>
      </c>
      <c r="Q27" t="str">
        <f t="shared" si="4"/>
        <v/>
      </c>
      <c r="U27">
        <v>3236</v>
      </c>
      <c r="V27" t="s">
        <v>613</v>
      </c>
      <c r="X27" t="str">
        <f t="shared" si="5"/>
        <v>32</v>
      </c>
      <c r="Y27" t="str">
        <f t="shared" si="6"/>
        <v>323</v>
      </c>
      <c r="AA27" t="s">
        <v>955</v>
      </c>
      <c r="AB27" t="s">
        <v>956</v>
      </c>
    </row>
    <row r="28" spans="1:28">
      <c r="A28" s="74"/>
      <c r="B28" s="59" t="str">
        <f t="shared" si="0"/>
        <v/>
      </c>
      <c r="C28" s="74"/>
      <c r="D28" s="59" t="str">
        <f t="shared" si="1"/>
        <v/>
      </c>
      <c r="E28" s="75"/>
      <c r="F28" s="59" t="str">
        <f t="shared" si="2"/>
        <v/>
      </c>
      <c r="G28" s="64"/>
      <c r="H28" s="64"/>
      <c r="I28" s="64"/>
      <c r="J28" s="211"/>
      <c r="K28" s="212"/>
      <c r="L28" s="212"/>
      <c r="M28" s="211"/>
      <c r="N28" s="211"/>
      <c r="P28" t="str">
        <f t="shared" si="3"/>
        <v/>
      </c>
      <c r="Q28" t="str">
        <f t="shared" si="4"/>
        <v/>
      </c>
      <c r="U28">
        <v>3237</v>
      </c>
      <c r="V28" t="s">
        <v>616</v>
      </c>
      <c r="X28" t="str">
        <f t="shared" si="5"/>
        <v>32</v>
      </c>
      <c r="Y28" t="str">
        <f t="shared" si="6"/>
        <v>323</v>
      </c>
      <c r="AA28" t="s">
        <v>957</v>
      </c>
      <c r="AB28" t="s">
        <v>958</v>
      </c>
    </row>
    <row r="29" spans="1:28">
      <c r="A29" s="74"/>
      <c r="B29" s="59" t="str">
        <f t="shared" si="0"/>
        <v/>
      </c>
      <c r="C29" s="74"/>
      <c r="D29" s="59" t="str">
        <f t="shared" si="1"/>
        <v/>
      </c>
      <c r="E29" s="75"/>
      <c r="F29" s="59" t="str">
        <f t="shared" si="2"/>
        <v/>
      </c>
      <c r="G29" s="64"/>
      <c r="H29" s="64"/>
      <c r="I29" s="64"/>
      <c r="J29" s="211"/>
      <c r="K29" s="212"/>
      <c r="L29" s="212"/>
      <c r="M29" s="211"/>
      <c r="N29" s="211"/>
      <c r="P29" t="str">
        <f t="shared" si="3"/>
        <v/>
      </c>
      <c r="Q29" t="str">
        <f t="shared" si="4"/>
        <v/>
      </c>
      <c r="U29">
        <v>3238</v>
      </c>
      <c r="V29" t="s">
        <v>619</v>
      </c>
      <c r="X29" t="str">
        <f t="shared" si="5"/>
        <v>32</v>
      </c>
      <c r="Y29" t="str">
        <f t="shared" si="6"/>
        <v>323</v>
      </c>
      <c r="AA29" t="s">
        <v>959</v>
      </c>
      <c r="AB29" t="s">
        <v>960</v>
      </c>
    </row>
    <row r="30" spans="1:28">
      <c r="A30" s="74"/>
      <c r="B30" s="59" t="str">
        <f t="shared" si="0"/>
        <v/>
      </c>
      <c r="C30" s="74"/>
      <c r="D30" s="59" t="str">
        <f t="shared" si="1"/>
        <v/>
      </c>
      <c r="E30" s="75"/>
      <c r="F30" s="59" t="str">
        <f t="shared" si="2"/>
        <v/>
      </c>
      <c r="G30" s="64"/>
      <c r="H30" s="64"/>
      <c r="I30" s="64"/>
      <c r="J30" s="211"/>
      <c r="K30" s="212"/>
      <c r="L30" s="212"/>
      <c r="M30" s="211"/>
      <c r="N30" s="211"/>
      <c r="P30" t="str">
        <f t="shared" si="3"/>
        <v/>
      </c>
      <c r="Q30" t="str">
        <f t="shared" si="4"/>
        <v/>
      </c>
      <c r="U30">
        <v>3239</v>
      </c>
      <c r="V30" t="s">
        <v>623</v>
      </c>
      <c r="X30" t="str">
        <f t="shared" si="5"/>
        <v>32</v>
      </c>
      <c r="Y30" t="str">
        <f t="shared" si="6"/>
        <v>323</v>
      </c>
      <c r="AA30" t="s">
        <v>961</v>
      </c>
      <c r="AB30" t="s">
        <v>962</v>
      </c>
    </row>
    <row r="31" spans="1:28">
      <c r="A31" s="74"/>
      <c r="B31" s="59" t="str">
        <f t="shared" si="0"/>
        <v/>
      </c>
      <c r="C31" s="74"/>
      <c r="D31" s="59" t="str">
        <f t="shared" si="1"/>
        <v/>
      </c>
      <c r="E31" s="75"/>
      <c r="F31" s="59" t="str">
        <f t="shared" si="2"/>
        <v/>
      </c>
      <c r="G31" s="64"/>
      <c r="H31" s="64"/>
      <c r="I31" s="64"/>
      <c r="J31" s="211"/>
      <c r="K31" s="212"/>
      <c r="L31" s="212"/>
      <c r="M31" s="211"/>
      <c r="N31" s="211"/>
      <c r="P31" t="str">
        <f t="shared" si="3"/>
        <v/>
      </c>
      <c r="Q31" t="str">
        <f t="shared" si="4"/>
        <v/>
      </c>
      <c r="U31">
        <v>3241</v>
      </c>
      <c r="V31" t="s">
        <v>626</v>
      </c>
      <c r="X31" t="str">
        <f t="shared" si="5"/>
        <v>32</v>
      </c>
      <c r="Y31" t="str">
        <f t="shared" si="6"/>
        <v>324</v>
      </c>
      <c r="AA31" t="s">
        <v>963</v>
      </c>
      <c r="AB31" t="s">
        <v>964</v>
      </c>
    </row>
    <row r="32" spans="1:28">
      <c r="A32" s="74"/>
      <c r="B32" s="59" t="str">
        <f t="shared" si="0"/>
        <v/>
      </c>
      <c r="C32" s="74"/>
      <c r="D32" s="59" t="str">
        <f t="shared" si="1"/>
        <v/>
      </c>
      <c r="E32" s="75"/>
      <c r="F32" s="59" t="str">
        <f t="shared" si="2"/>
        <v/>
      </c>
      <c r="G32" s="64"/>
      <c r="H32" s="64"/>
      <c r="I32" s="64"/>
      <c r="J32" s="211"/>
      <c r="K32" s="212"/>
      <c r="L32" s="212"/>
      <c r="M32" s="211"/>
      <c r="N32" s="211"/>
      <c r="P32" t="str">
        <f t="shared" si="3"/>
        <v/>
      </c>
      <c r="Q32" t="str">
        <f t="shared" si="4"/>
        <v/>
      </c>
      <c r="U32">
        <v>3291</v>
      </c>
      <c r="V32" t="s">
        <v>629</v>
      </c>
      <c r="X32" t="str">
        <f t="shared" si="5"/>
        <v>32</v>
      </c>
      <c r="Y32" t="str">
        <f t="shared" si="6"/>
        <v>329</v>
      </c>
      <c r="AA32" t="s">
        <v>965</v>
      </c>
      <c r="AB32" t="s">
        <v>966</v>
      </c>
    </row>
    <row r="33" spans="1:28">
      <c r="A33" s="74"/>
      <c r="B33" s="59" t="str">
        <f t="shared" si="0"/>
        <v/>
      </c>
      <c r="C33" s="74"/>
      <c r="D33" s="59" t="str">
        <f t="shared" si="1"/>
        <v/>
      </c>
      <c r="E33" s="75"/>
      <c r="F33" s="59" t="str">
        <f t="shared" si="2"/>
        <v/>
      </c>
      <c r="G33" s="64"/>
      <c r="H33" s="64"/>
      <c r="I33" s="64"/>
      <c r="J33" s="211"/>
      <c r="K33" s="212"/>
      <c r="L33" s="212"/>
      <c r="M33" s="211"/>
      <c r="N33" s="211"/>
      <c r="P33" t="str">
        <f t="shared" si="3"/>
        <v/>
      </c>
      <c r="Q33" t="str">
        <f t="shared" si="4"/>
        <v/>
      </c>
      <c r="U33">
        <v>3292</v>
      </c>
      <c r="V33" t="s">
        <v>632</v>
      </c>
      <c r="X33" t="str">
        <f t="shared" si="5"/>
        <v>32</v>
      </c>
      <c r="Y33" t="str">
        <f t="shared" si="6"/>
        <v>329</v>
      </c>
      <c r="AA33" t="s">
        <v>967</v>
      </c>
      <c r="AB33" t="s">
        <v>968</v>
      </c>
    </row>
    <row r="34" spans="1:28">
      <c r="A34" s="74"/>
      <c r="B34" s="59" t="str">
        <f t="shared" si="0"/>
        <v/>
      </c>
      <c r="C34" s="74"/>
      <c r="D34" s="59" t="str">
        <f t="shared" si="1"/>
        <v/>
      </c>
      <c r="E34" s="75"/>
      <c r="F34" s="59" t="str">
        <f t="shared" si="2"/>
        <v/>
      </c>
      <c r="G34" s="64"/>
      <c r="H34" s="64"/>
      <c r="I34" s="64"/>
      <c r="J34" s="211"/>
      <c r="K34" s="212"/>
      <c r="L34" s="212"/>
      <c r="M34" s="211"/>
      <c r="N34" s="211"/>
      <c r="P34" t="str">
        <f t="shared" si="3"/>
        <v/>
      </c>
      <c r="Q34" t="str">
        <f t="shared" si="4"/>
        <v/>
      </c>
      <c r="U34">
        <v>3293</v>
      </c>
      <c r="V34" t="s">
        <v>635</v>
      </c>
      <c r="X34" t="str">
        <f t="shared" si="5"/>
        <v>32</v>
      </c>
      <c r="Y34" t="str">
        <f t="shared" si="6"/>
        <v>329</v>
      </c>
      <c r="AA34" t="s">
        <v>969</v>
      </c>
      <c r="AB34" t="s">
        <v>970</v>
      </c>
    </row>
    <row r="35" spans="1:28">
      <c r="A35" s="74"/>
      <c r="B35" s="59" t="str">
        <f t="shared" si="0"/>
        <v/>
      </c>
      <c r="C35" s="74"/>
      <c r="D35" s="59" t="str">
        <f t="shared" si="1"/>
        <v/>
      </c>
      <c r="E35" s="75"/>
      <c r="F35" s="59" t="str">
        <f t="shared" si="2"/>
        <v/>
      </c>
      <c r="G35" s="64"/>
      <c r="H35" s="64"/>
      <c r="I35" s="64"/>
      <c r="J35" s="211"/>
      <c r="K35" s="212"/>
      <c r="L35" s="212"/>
      <c r="M35" s="211"/>
      <c r="N35" s="211"/>
      <c r="P35" t="str">
        <f t="shared" si="3"/>
        <v/>
      </c>
      <c r="Q35" t="str">
        <f t="shared" si="4"/>
        <v/>
      </c>
      <c r="U35">
        <v>3293</v>
      </c>
      <c r="V35" t="s">
        <v>638</v>
      </c>
      <c r="X35" t="str">
        <f t="shared" si="5"/>
        <v>32</v>
      </c>
      <c r="Y35" t="str">
        <f t="shared" si="6"/>
        <v>329</v>
      </c>
      <c r="AA35" t="s">
        <v>971</v>
      </c>
      <c r="AB35" t="s">
        <v>972</v>
      </c>
    </row>
    <row r="36" spans="1:28">
      <c r="A36" s="74"/>
      <c r="B36" s="59" t="str">
        <f t="shared" si="0"/>
        <v/>
      </c>
      <c r="C36" s="74"/>
      <c r="D36" s="59" t="str">
        <f t="shared" si="1"/>
        <v/>
      </c>
      <c r="E36" s="75"/>
      <c r="F36" s="59" t="str">
        <f t="shared" si="2"/>
        <v/>
      </c>
      <c r="G36" s="64"/>
      <c r="H36" s="64"/>
      <c r="I36" s="64"/>
      <c r="J36" s="211"/>
      <c r="K36" s="212"/>
      <c r="L36" s="212"/>
      <c r="M36" s="211"/>
      <c r="N36" s="211"/>
      <c r="P36" t="str">
        <f t="shared" si="3"/>
        <v/>
      </c>
      <c r="Q36" t="str">
        <f t="shared" si="4"/>
        <v/>
      </c>
      <c r="U36">
        <v>3294</v>
      </c>
      <c r="V36" t="s">
        <v>641</v>
      </c>
      <c r="X36" t="str">
        <f t="shared" si="5"/>
        <v>32</v>
      </c>
      <c r="Y36" t="str">
        <f t="shared" si="6"/>
        <v>329</v>
      </c>
      <c r="AA36" t="s">
        <v>973</v>
      </c>
      <c r="AB36" t="s">
        <v>974</v>
      </c>
    </row>
    <row r="37" spans="1:28">
      <c r="A37" s="74"/>
      <c r="B37" s="59" t="str">
        <f t="shared" si="0"/>
        <v/>
      </c>
      <c r="C37" s="74"/>
      <c r="D37" s="59" t="str">
        <f t="shared" si="1"/>
        <v/>
      </c>
      <c r="E37" s="75"/>
      <c r="F37" s="59" t="str">
        <f t="shared" si="2"/>
        <v/>
      </c>
      <c r="G37" s="64"/>
      <c r="H37" s="64"/>
      <c r="I37" s="64"/>
      <c r="J37" s="211"/>
      <c r="K37" s="212"/>
      <c r="L37" s="212"/>
      <c r="M37" s="211"/>
      <c r="N37" s="211"/>
      <c r="P37" t="str">
        <f t="shared" si="3"/>
        <v/>
      </c>
      <c r="Q37" t="str">
        <f t="shared" si="4"/>
        <v/>
      </c>
      <c r="U37">
        <v>3295</v>
      </c>
      <c r="V37" t="s">
        <v>644</v>
      </c>
      <c r="X37" t="str">
        <f t="shared" ref="X37:X68" si="7">LEFT(U37,2)</f>
        <v>32</v>
      </c>
      <c r="Y37" t="str">
        <f t="shared" ref="Y37:Y68" si="8">LEFT(U37,3)</f>
        <v>329</v>
      </c>
      <c r="AA37" t="s">
        <v>975</v>
      </c>
      <c r="AB37" t="s">
        <v>976</v>
      </c>
    </row>
    <row r="38" spans="1:28">
      <c r="A38" s="74"/>
      <c r="B38" s="59" t="str">
        <f t="shared" si="0"/>
        <v/>
      </c>
      <c r="C38" s="74"/>
      <c r="D38" s="59" t="str">
        <f t="shared" si="1"/>
        <v/>
      </c>
      <c r="E38" s="75"/>
      <c r="F38" s="59" t="str">
        <f t="shared" si="2"/>
        <v/>
      </c>
      <c r="G38" s="64"/>
      <c r="H38" s="64"/>
      <c r="I38" s="64"/>
      <c r="J38" s="211"/>
      <c r="K38" s="212"/>
      <c r="L38" s="212"/>
      <c r="M38" s="211"/>
      <c r="N38" s="211"/>
      <c r="P38" t="str">
        <f t="shared" si="3"/>
        <v/>
      </c>
      <c r="Q38" t="str">
        <f t="shared" si="4"/>
        <v/>
      </c>
      <c r="U38">
        <v>3296</v>
      </c>
      <c r="V38" t="s">
        <v>647</v>
      </c>
      <c r="X38" t="str">
        <f t="shared" si="7"/>
        <v>32</v>
      </c>
      <c r="Y38" t="str">
        <f t="shared" si="8"/>
        <v>329</v>
      </c>
      <c r="AA38" t="s">
        <v>977</v>
      </c>
      <c r="AB38" t="s">
        <v>978</v>
      </c>
    </row>
    <row r="39" spans="1:28">
      <c r="A39" s="74"/>
      <c r="B39" s="59" t="str">
        <f t="shared" si="0"/>
        <v/>
      </c>
      <c r="C39" s="74"/>
      <c r="D39" s="59" t="str">
        <f t="shared" si="1"/>
        <v/>
      </c>
      <c r="E39" s="75"/>
      <c r="F39" s="59" t="str">
        <f t="shared" si="2"/>
        <v/>
      </c>
      <c r="G39" s="64"/>
      <c r="H39" s="64"/>
      <c r="I39" s="64"/>
      <c r="J39" s="211"/>
      <c r="K39" s="212"/>
      <c r="L39" s="212"/>
      <c r="M39" s="211"/>
      <c r="N39" s="211"/>
      <c r="P39" t="str">
        <f t="shared" si="3"/>
        <v/>
      </c>
      <c r="Q39" t="str">
        <f t="shared" si="4"/>
        <v/>
      </c>
      <c r="U39">
        <v>3299</v>
      </c>
      <c r="V39" t="s">
        <v>650</v>
      </c>
      <c r="X39" t="str">
        <f t="shared" si="7"/>
        <v>32</v>
      </c>
      <c r="Y39" t="str">
        <f t="shared" si="8"/>
        <v>329</v>
      </c>
      <c r="AA39" t="s">
        <v>979</v>
      </c>
      <c r="AB39" t="s">
        <v>980</v>
      </c>
    </row>
    <row r="40" spans="1:28">
      <c r="A40" s="74"/>
      <c r="B40" s="59" t="str">
        <f t="shared" si="0"/>
        <v/>
      </c>
      <c r="C40" s="74"/>
      <c r="D40" s="59" t="str">
        <f t="shared" si="1"/>
        <v/>
      </c>
      <c r="E40" s="75"/>
      <c r="F40" s="59" t="str">
        <f t="shared" si="2"/>
        <v/>
      </c>
      <c r="G40" s="64"/>
      <c r="H40" s="64"/>
      <c r="I40" s="64"/>
      <c r="J40" s="211"/>
      <c r="K40" s="212"/>
      <c r="L40" s="212"/>
      <c r="M40" s="211"/>
      <c r="N40" s="211"/>
      <c r="P40" t="str">
        <f t="shared" si="3"/>
        <v/>
      </c>
      <c r="Q40" t="str">
        <f t="shared" si="4"/>
        <v/>
      </c>
      <c r="U40">
        <v>3411</v>
      </c>
      <c r="V40" t="s">
        <v>653</v>
      </c>
      <c r="X40" t="str">
        <f t="shared" si="7"/>
        <v>34</v>
      </c>
      <c r="Y40" t="str">
        <f t="shared" si="8"/>
        <v>341</v>
      </c>
      <c r="AA40" t="s">
        <v>981</v>
      </c>
      <c r="AB40" t="s">
        <v>982</v>
      </c>
    </row>
    <row r="41" spans="1:28">
      <c r="A41" s="74"/>
      <c r="B41" s="59" t="str">
        <f t="shared" si="0"/>
        <v/>
      </c>
      <c r="C41" s="74"/>
      <c r="D41" s="59" t="str">
        <f t="shared" si="1"/>
        <v/>
      </c>
      <c r="E41" s="75"/>
      <c r="F41" s="59" t="str">
        <f t="shared" si="2"/>
        <v/>
      </c>
      <c r="G41" s="64"/>
      <c r="H41" s="64"/>
      <c r="I41" s="64"/>
      <c r="J41" s="211"/>
      <c r="K41" s="212"/>
      <c r="L41" s="212"/>
      <c r="M41" s="211"/>
      <c r="N41" s="211"/>
      <c r="P41" t="str">
        <f t="shared" si="3"/>
        <v/>
      </c>
      <c r="Q41" t="str">
        <f t="shared" si="4"/>
        <v/>
      </c>
      <c r="U41">
        <v>3422</v>
      </c>
      <c r="V41" t="s">
        <v>656</v>
      </c>
      <c r="X41" t="str">
        <f t="shared" si="7"/>
        <v>34</v>
      </c>
      <c r="Y41" t="str">
        <f t="shared" si="8"/>
        <v>342</v>
      </c>
      <c r="AA41" t="s">
        <v>983</v>
      </c>
      <c r="AB41" t="s">
        <v>984</v>
      </c>
    </row>
    <row r="42" spans="1:28">
      <c r="A42" s="74"/>
      <c r="B42" s="59" t="str">
        <f t="shared" si="0"/>
        <v/>
      </c>
      <c r="C42" s="74"/>
      <c r="D42" s="59" t="str">
        <f t="shared" si="1"/>
        <v/>
      </c>
      <c r="E42" s="75"/>
      <c r="F42" s="59" t="str">
        <f t="shared" si="2"/>
        <v/>
      </c>
      <c r="G42" s="64"/>
      <c r="H42" s="64"/>
      <c r="I42" s="64"/>
      <c r="J42" s="211"/>
      <c r="K42" s="212"/>
      <c r="L42" s="212"/>
      <c r="M42" s="211"/>
      <c r="N42" s="211"/>
      <c r="P42" t="str">
        <f t="shared" si="3"/>
        <v/>
      </c>
      <c r="Q42" t="str">
        <f t="shared" si="4"/>
        <v/>
      </c>
      <c r="U42">
        <v>3423</v>
      </c>
      <c r="V42" t="s">
        <v>656</v>
      </c>
      <c r="X42" t="str">
        <f t="shared" si="7"/>
        <v>34</v>
      </c>
      <c r="Y42" t="str">
        <f t="shared" si="8"/>
        <v>342</v>
      </c>
      <c r="AA42" t="s">
        <v>985</v>
      </c>
      <c r="AB42" t="s">
        <v>986</v>
      </c>
    </row>
    <row r="43" spans="1:28">
      <c r="A43" s="74"/>
      <c r="B43" s="59" t="str">
        <f t="shared" si="0"/>
        <v/>
      </c>
      <c r="C43" s="74"/>
      <c r="D43" s="59" t="str">
        <f t="shared" si="1"/>
        <v/>
      </c>
      <c r="E43" s="75"/>
      <c r="F43" s="59" t="str">
        <f t="shared" si="2"/>
        <v/>
      </c>
      <c r="G43" s="64"/>
      <c r="H43" s="64"/>
      <c r="I43" s="64"/>
      <c r="J43" s="211"/>
      <c r="K43" s="212"/>
      <c r="L43" s="212"/>
      <c r="M43" s="211"/>
      <c r="N43" s="211"/>
      <c r="P43" t="str">
        <f t="shared" si="3"/>
        <v/>
      </c>
      <c r="Q43" t="str">
        <f t="shared" si="4"/>
        <v/>
      </c>
      <c r="U43">
        <v>3427</v>
      </c>
      <c r="V43" t="s">
        <v>661</v>
      </c>
      <c r="X43" t="str">
        <f t="shared" si="7"/>
        <v>34</v>
      </c>
      <c r="Y43" t="str">
        <f t="shared" si="8"/>
        <v>342</v>
      </c>
      <c r="AA43" t="s">
        <v>987</v>
      </c>
      <c r="AB43" t="s">
        <v>988</v>
      </c>
    </row>
    <row r="44" spans="1:28">
      <c r="A44" s="74"/>
      <c r="B44" s="59" t="str">
        <f t="shared" si="0"/>
        <v/>
      </c>
      <c r="C44" s="74"/>
      <c r="D44" s="59" t="str">
        <f t="shared" si="1"/>
        <v/>
      </c>
      <c r="E44" s="75"/>
      <c r="F44" s="59" t="str">
        <f t="shared" si="2"/>
        <v/>
      </c>
      <c r="G44" s="64"/>
      <c r="H44" s="64"/>
      <c r="I44" s="64"/>
      <c r="J44" s="211"/>
      <c r="K44" s="212"/>
      <c r="L44" s="212"/>
      <c r="M44" s="211"/>
      <c r="N44" s="211"/>
      <c r="P44" t="str">
        <f t="shared" si="3"/>
        <v/>
      </c>
      <c r="Q44" t="str">
        <f t="shared" si="4"/>
        <v/>
      </c>
      <c r="U44">
        <v>3431</v>
      </c>
      <c r="V44" t="s">
        <v>664</v>
      </c>
      <c r="X44" t="str">
        <f t="shared" si="7"/>
        <v>34</v>
      </c>
      <c r="Y44" t="str">
        <f t="shared" si="8"/>
        <v>343</v>
      </c>
      <c r="AA44" t="s">
        <v>989</v>
      </c>
      <c r="AB44" t="s">
        <v>990</v>
      </c>
    </row>
    <row r="45" spans="1:28">
      <c r="A45" s="74"/>
      <c r="B45" s="59" t="str">
        <f t="shared" si="0"/>
        <v/>
      </c>
      <c r="C45" s="74"/>
      <c r="D45" s="59" t="str">
        <f t="shared" si="1"/>
        <v/>
      </c>
      <c r="E45" s="75"/>
      <c r="F45" s="59" t="str">
        <f t="shared" si="2"/>
        <v/>
      </c>
      <c r="G45" s="64"/>
      <c r="H45" s="64"/>
      <c r="I45" s="64"/>
      <c r="J45" s="211"/>
      <c r="K45" s="212"/>
      <c r="L45" s="212"/>
      <c r="M45" s="211"/>
      <c r="N45" s="211"/>
      <c r="P45" t="str">
        <f t="shared" si="3"/>
        <v/>
      </c>
      <c r="Q45" t="str">
        <f t="shared" si="4"/>
        <v/>
      </c>
      <c r="U45">
        <v>3432</v>
      </c>
      <c r="V45" t="s">
        <v>666</v>
      </c>
      <c r="X45" t="str">
        <f t="shared" si="7"/>
        <v>34</v>
      </c>
      <c r="Y45" t="str">
        <f t="shared" si="8"/>
        <v>343</v>
      </c>
      <c r="AA45" t="s">
        <v>991</v>
      </c>
      <c r="AB45" t="s">
        <v>992</v>
      </c>
    </row>
    <row r="46" spans="1:28">
      <c r="A46" s="74"/>
      <c r="B46" s="59" t="str">
        <f t="shared" si="0"/>
        <v/>
      </c>
      <c r="C46" s="74"/>
      <c r="D46" s="59" t="str">
        <f t="shared" si="1"/>
        <v/>
      </c>
      <c r="E46" s="75"/>
      <c r="F46" s="59" t="str">
        <f t="shared" si="2"/>
        <v/>
      </c>
      <c r="G46" s="64"/>
      <c r="H46" s="64"/>
      <c r="I46" s="64"/>
      <c r="J46" s="211"/>
      <c r="K46" s="212"/>
      <c r="L46" s="212"/>
      <c r="M46" s="211"/>
      <c r="N46" s="211"/>
      <c r="P46" t="str">
        <f t="shared" si="3"/>
        <v/>
      </c>
      <c r="Q46" t="str">
        <f t="shared" si="4"/>
        <v/>
      </c>
      <c r="U46">
        <v>3433</v>
      </c>
      <c r="V46" t="s">
        <v>669</v>
      </c>
      <c r="X46" t="str">
        <f t="shared" si="7"/>
        <v>34</v>
      </c>
      <c r="Y46" t="str">
        <f t="shared" si="8"/>
        <v>343</v>
      </c>
      <c r="AA46" t="s">
        <v>993</v>
      </c>
      <c r="AB46" t="s">
        <v>994</v>
      </c>
    </row>
    <row r="47" spans="1:28">
      <c r="A47" s="74"/>
      <c r="B47" s="59" t="str">
        <f t="shared" si="0"/>
        <v/>
      </c>
      <c r="C47" s="74"/>
      <c r="D47" s="59" t="str">
        <f t="shared" si="1"/>
        <v/>
      </c>
      <c r="E47" s="75"/>
      <c r="F47" s="59" t="str">
        <f t="shared" si="2"/>
        <v/>
      </c>
      <c r="G47" s="64"/>
      <c r="H47" s="64"/>
      <c r="I47" s="64"/>
      <c r="J47" s="211"/>
      <c r="K47" s="212"/>
      <c r="L47" s="212"/>
      <c r="M47" s="211"/>
      <c r="N47" s="211"/>
      <c r="P47" t="str">
        <f t="shared" si="3"/>
        <v/>
      </c>
      <c r="Q47" t="str">
        <f t="shared" si="4"/>
        <v/>
      </c>
      <c r="U47">
        <v>3434</v>
      </c>
      <c r="V47" t="s">
        <v>672</v>
      </c>
      <c r="X47" t="str">
        <f t="shared" si="7"/>
        <v>34</v>
      </c>
      <c r="Y47" t="str">
        <f t="shared" si="8"/>
        <v>343</v>
      </c>
      <c r="AA47" t="s">
        <v>995</v>
      </c>
      <c r="AB47" t="s">
        <v>996</v>
      </c>
    </row>
    <row r="48" spans="1:28">
      <c r="A48" s="74"/>
      <c r="B48" s="59" t="str">
        <f t="shared" si="0"/>
        <v/>
      </c>
      <c r="C48" s="74"/>
      <c r="D48" s="59" t="str">
        <f t="shared" si="1"/>
        <v/>
      </c>
      <c r="E48" s="75"/>
      <c r="F48" s="59" t="str">
        <f t="shared" si="2"/>
        <v/>
      </c>
      <c r="G48" s="64"/>
      <c r="H48" s="64"/>
      <c r="I48" s="64"/>
      <c r="J48" s="211"/>
      <c r="K48" s="212"/>
      <c r="L48" s="212"/>
      <c r="M48" s="211"/>
      <c r="N48" s="211"/>
      <c r="P48" t="str">
        <f t="shared" si="3"/>
        <v/>
      </c>
      <c r="Q48" t="str">
        <f t="shared" si="4"/>
        <v/>
      </c>
      <c r="U48">
        <v>3511</v>
      </c>
      <c r="V48" t="s">
        <v>675</v>
      </c>
      <c r="X48" t="str">
        <f t="shared" si="7"/>
        <v>35</v>
      </c>
      <c r="Y48" t="str">
        <f t="shared" si="8"/>
        <v>351</v>
      </c>
      <c r="AA48" t="s">
        <v>997</v>
      </c>
      <c r="AB48" t="s">
        <v>998</v>
      </c>
    </row>
    <row r="49" spans="1:28">
      <c r="A49" s="74"/>
      <c r="B49" s="59" t="str">
        <f t="shared" si="0"/>
        <v/>
      </c>
      <c r="C49" s="74"/>
      <c r="D49" s="59" t="str">
        <f t="shared" si="1"/>
        <v/>
      </c>
      <c r="E49" s="75"/>
      <c r="F49" s="59" t="str">
        <f t="shared" si="2"/>
        <v/>
      </c>
      <c r="G49" s="64"/>
      <c r="H49" s="64"/>
      <c r="I49" s="64"/>
      <c r="J49" s="211"/>
      <c r="K49" s="212"/>
      <c r="L49" s="212"/>
      <c r="M49" s="211"/>
      <c r="N49" s="211"/>
      <c r="P49" t="str">
        <f t="shared" si="3"/>
        <v/>
      </c>
      <c r="Q49" t="str">
        <f t="shared" si="4"/>
        <v/>
      </c>
      <c r="U49">
        <v>3512</v>
      </c>
      <c r="V49" t="s">
        <v>677</v>
      </c>
      <c r="X49" t="str">
        <f t="shared" si="7"/>
        <v>35</v>
      </c>
      <c r="Y49" t="str">
        <f t="shared" si="8"/>
        <v>351</v>
      </c>
      <c r="AA49" t="s">
        <v>999</v>
      </c>
      <c r="AB49" t="s">
        <v>1000</v>
      </c>
    </row>
    <row r="50" spans="1:28">
      <c r="A50" s="74"/>
      <c r="B50" s="59" t="str">
        <f t="shared" si="0"/>
        <v/>
      </c>
      <c r="C50" s="74"/>
      <c r="D50" s="59" t="str">
        <f t="shared" si="1"/>
        <v/>
      </c>
      <c r="E50" s="75"/>
      <c r="F50" s="59" t="str">
        <f t="shared" si="2"/>
        <v/>
      </c>
      <c r="G50" s="64"/>
      <c r="H50" s="64"/>
      <c r="I50" s="64"/>
      <c r="J50" s="211"/>
      <c r="K50" s="212"/>
      <c r="L50" s="212"/>
      <c r="M50" s="211"/>
      <c r="N50" s="211"/>
      <c r="P50" t="str">
        <f t="shared" si="3"/>
        <v/>
      </c>
      <c r="Q50" t="str">
        <f t="shared" si="4"/>
        <v/>
      </c>
      <c r="U50">
        <v>3522</v>
      </c>
      <c r="V50" t="s">
        <v>679</v>
      </c>
      <c r="X50" t="str">
        <f t="shared" si="7"/>
        <v>35</v>
      </c>
      <c r="Y50" t="str">
        <f t="shared" si="8"/>
        <v>352</v>
      </c>
      <c r="AA50" t="s">
        <v>1001</v>
      </c>
      <c r="AB50" t="s">
        <v>1002</v>
      </c>
    </row>
    <row r="51" spans="1:28">
      <c r="A51" s="74"/>
      <c r="B51" s="59" t="str">
        <f t="shared" si="0"/>
        <v/>
      </c>
      <c r="C51" s="74"/>
      <c r="D51" s="59" t="str">
        <f t="shared" si="1"/>
        <v/>
      </c>
      <c r="E51" s="75"/>
      <c r="F51" s="59" t="str">
        <f t="shared" si="2"/>
        <v/>
      </c>
      <c r="G51" s="64"/>
      <c r="H51" s="64"/>
      <c r="I51" s="64"/>
      <c r="J51" s="211"/>
      <c r="K51" s="212"/>
      <c r="L51" s="212"/>
      <c r="M51" s="211"/>
      <c r="N51" s="211"/>
      <c r="P51" t="str">
        <f t="shared" si="3"/>
        <v/>
      </c>
      <c r="Q51" t="str">
        <f t="shared" si="4"/>
        <v/>
      </c>
      <c r="U51">
        <v>3531</v>
      </c>
      <c r="V51" t="s">
        <v>681</v>
      </c>
      <c r="X51" t="str">
        <f t="shared" si="7"/>
        <v>35</v>
      </c>
      <c r="Y51" t="str">
        <f t="shared" si="8"/>
        <v>353</v>
      </c>
      <c r="AA51" t="s">
        <v>1003</v>
      </c>
      <c r="AB51" t="s">
        <v>1004</v>
      </c>
    </row>
    <row r="52" spans="1:28">
      <c r="A52" s="74"/>
      <c r="B52" s="59" t="str">
        <f t="shared" si="0"/>
        <v/>
      </c>
      <c r="C52" s="74"/>
      <c r="D52" s="59" t="str">
        <f t="shared" si="1"/>
        <v/>
      </c>
      <c r="E52" s="75"/>
      <c r="F52" s="59" t="str">
        <f t="shared" si="2"/>
        <v/>
      </c>
      <c r="G52" s="64"/>
      <c r="H52" s="64"/>
      <c r="I52" s="64"/>
      <c r="J52" s="211"/>
      <c r="K52" s="212"/>
      <c r="L52" s="212"/>
      <c r="M52" s="211"/>
      <c r="N52" s="211"/>
      <c r="P52" t="str">
        <f t="shared" si="3"/>
        <v/>
      </c>
      <c r="Q52" t="str">
        <f t="shared" si="4"/>
        <v/>
      </c>
      <c r="U52">
        <v>3611</v>
      </c>
      <c r="V52" t="s">
        <v>682</v>
      </c>
      <c r="X52" t="str">
        <f t="shared" si="7"/>
        <v>36</v>
      </c>
      <c r="Y52" t="str">
        <f t="shared" si="8"/>
        <v>361</v>
      </c>
      <c r="AA52" t="s">
        <v>1005</v>
      </c>
      <c r="AB52" t="s">
        <v>1006</v>
      </c>
    </row>
    <row r="53" spans="1:28">
      <c r="A53" s="74"/>
      <c r="B53" s="59" t="str">
        <f t="shared" si="0"/>
        <v/>
      </c>
      <c r="C53" s="74"/>
      <c r="D53" s="59" t="str">
        <f t="shared" si="1"/>
        <v/>
      </c>
      <c r="E53" s="75"/>
      <c r="F53" s="59" t="str">
        <f t="shared" si="2"/>
        <v/>
      </c>
      <c r="G53" s="64"/>
      <c r="H53" s="64"/>
      <c r="I53" s="64"/>
      <c r="J53" s="211"/>
      <c r="K53" s="212"/>
      <c r="L53" s="212"/>
      <c r="M53" s="211"/>
      <c r="N53" s="211"/>
      <c r="P53" t="str">
        <f t="shared" si="3"/>
        <v/>
      </c>
      <c r="Q53" t="str">
        <f t="shared" si="4"/>
        <v/>
      </c>
      <c r="U53">
        <v>3621</v>
      </c>
      <c r="V53" t="s">
        <v>683</v>
      </c>
      <c r="X53" t="str">
        <f t="shared" si="7"/>
        <v>36</v>
      </c>
      <c r="Y53" t="str">
        <f t="shared" si="8"/>
        <v>362</v>
      </c>
      <c r="AA53" t="s">
        <v>1007</v>
      </c>
      <c r="AB53" t="s">
        <v>1008</v>
      </c>
    </row>
    <row r="54" spans="1:28">
      <c r="A54" s="74"/>
      <c r="B54" s="59" t="str">
        <f t="shared" si="0"/>
        <v/>
      </c>
      <c r="C54" s="74"/>
      <c r="D54" s="59" t="str">
        <f t="shared" si="1"/>
        <v/>
      </c>
      <c r="E54" s="75"/>
      <c r="F54" s="59" t="str">
        <f t="shared" si="2"/>
        <v/>
      </c>
      <c r="G54" s="64"/>
      <c r="H54" s="64"/>
      <c r="I54" s="64"/>
      <c r="J54" s="211"/>
      <c r="K54" s="212"/>
      <c r="L54" s="212"/>
      <c r="M54" s="211"/>
      <c r="N54" s="211"/>
      <c r="P54" t="str">
        <f t="shared" si="3"/>
        <v/>
      </c>
      <c r="Q54" t="str">
        <f t="shared" si="4"/>
        <v/>
      </c>
      <c r="U54">
        <v>3631</v>
      </c>
      <c r="V54" t="s">
        <v>684</v>
      </c>
      <c r="X54" t="str">
        <f t="shared" si="7"/>
        <v>36</v>
      </c>
      <c r="Y54" t="str">
        <f t="shared" si="8"/>
        <v>363</v>
      </c>
      <c r="AA54" t="s">
        <v>1009</v>
      </c>
      <c r="AB54" t="s">
        <v>1010</v>
      </c>
    </row>
    <row r="55" spans="1:28">
      <c r="A55" s="74"/>
      <c r="B55" s="59" t="str">
        <f t="shared" si="0"/>
        <v/>
      </c>
      <c r="C55" s="74"/>
      <c r="D55" s="59" t="str">
        <f t="shared" si="1"/>
        <v/>
      </c>
      <c r="E55" s="75"/>
      <c r="F55" s="59" t="str">
        <f t="shared" si="2"/>
        <v/>
      </c>
      <c r="G55" s="64"/>
      <c r="H55" s="64"/>
      <c r="I55" s="64"/>
      <c r="J55" s="211"/>
      <c r="K55" s="212"/>
      <c r="L55" s="212"/>
      <c r="M55" s="211"/>
      <c r="N55" s="211"/>
      <c r="P55" t="str">
        <f t="shared" si="3"/>
        <v/>
      </c>
      <c r="Q55" t="str">
        <f t="shared" si="4"/>
        <v/>
      </c>
      <c r="U55">
        <v>3632</v>
      </c>
      <c r="V55" t="s">
        <v>685</v>
      </c>
      <c r="X55" t="str">
        <f t="shared" si="7"/>
        <v>36</v>
      </c>
      <c r="Y55" t="str">
        <f t="shared" si="8"/>
        <v>363</v>
      </c>
      <c r="AA55" t="s">
        <v>1011</v>
      </c>
      <c r="AB55" t="s">
        <v>1012</v>
      </c>
    </row>
    <row r="56" spans="1:28">
      <c r="A56" s="74"/>
      <c r="B56" s="59" t="str">
        <f t="shared" si="0"/>
        <v/>
      </c>
      <c r="C56" s="74"/>
      <c r="D56" s="59" t="str">
        <f t="shared" si="1"/>
        <v/>
      </c>
      <c r="E56" s="75"/>
      <c r="F56" s="59" t="str">
        <f t="shared" si="2"/>
        <v/>
      </c>
      <c r="G56" s="64"/>
      <c r="H56" s="64"/>
      <c r="I56" s="64"/>
      <c r="J56" s="211"/>
      <c r="K56" s="212"/>
      <c r="L56" s="212"/>
      <c r="M56" s="211"/>
      <c r="N56" s="211"/>
      <c r="P56" t="str">
        <f t="shared" si="3"/>
        <v/>
      </c>
      <c r="Q56" t="str">
        <f t="shared" si="4"/>
        <v/>
      </c>
      <c r="U56">
        <v>3661</v>
      </c>
      <c r="V56" t="s">
        <v>686</v>
      </c>
      <c r="X56" t="str">
        <f t="shared" si="7"/>
        <v>36</v>
      </c>
      <c r="Y56" t="str">
        <f t="shared" si="8"/>
        <v>366</v>
      </c>
      <c r="AA56" t="s">
        <v>1013</v>
      </c>
      <c r="AB56" t="s">
        <v>1014</v>
      </c>
    </row>
    <row r="57" spans="1:28">
      <c r="A57" s="74"/>
      <c r="B57" s="59" t="str">
        <f t="shared" si="0"/>
        <v/>
      </c>
      <c r="C57" s="74"/>
      <c r="D57" s="59" t="str">
        <f t="shared" si="1"/>
        <v/>
      </c>
      <c r="E57" s="75"/>
      <c r="F57" s="59" t="str">
        <f t="shared" si="2"/>
        <v/>
      </c>
      <c r="G57" s="64"/>
      <c r="H57" s="64"/>
      <c r="I57" s="64"/>
      <c r="J57" s="211"/>
      <c r="K57" s="212"/>
      <c r="L57" s="212"/>
      <c r="M57" s="211"/>
      <c r="N57" s="211"/>
      <c r="P57" t="str">
        <f t="shared" si="3"/>
        <v/>
      </c>
      <c r="Q57" t="str">
        <f t="shared" si="4"/>
        <v/>
      </c>
      <c r="U57">
        <v>3662</v>
      </c>
      <c r="V57" t="s">
        <v>687</v>
      </c>
      <c r="X57" t="str">
        <f t="shared" si="7"/>
        <v>36</v>
      </c>
      <c r="Y57" t="str">
        <f t="shared" si="8"/>
        <v>366</v>
      </c>
      <c r="AA57" t="s">
        <v>1015</v>
      </c>
      <c r="AB57" t="s">
        <v>1016</v>
      </c>
    </row>
    <row r="58" spans="1:28">
      <c r="A58" s="74"/>
      <c r="B58" s="59" t="str">
        <f t="shared" si="0"/>
        <v/>
      </c>
      <c r="C58" s="74"/>
      <c r="D58" s="59" t="str">
        <f t="shared" si="1"/>
        <v/>
      </c>
      <c r="E58" s="75"/>
      <c r="F58" s="59" t="str">
        <f t="shared" si="2"/>
        <v/>
      </c>
      <c r="G58" s="64"/>
      <c r="H58" s="64"/>
      <c r="I58" s="64"/>
      <c r="J58" s="211"/>
      <c r="K58" s="212"/>
      <c r="L58" s="212"/>
      <c r="M58" s="211"/>
      <c r="N58" s="211"/>
      <c r="P58" t="str">
        <f t="shared" si="3"/>
        <v/>
      </c>
      <c r="Q58" t="str">
        <f t="shared" si="4"/>
        <v/>
      </c>
      <c r="U58">
        <v>3681</v>
      </c>
      <c r="V58" t="s">
        <v>477</v>
      </c>
      <c r="X58" t="str">
        <f t="shared" si="7"/>
        <v>36</v>
      </c>
      <c r="Y58" t="str">
        <f t="shared" si="8"/>
        <v>368</v>
      </c>
      <c r="AA58" t="s">
        <v>614</v>
      </c>
      <c r="AB58" t="s">
        <v>615</v>
      </c>
    </row>
    <row r="59" spans="1:28">
      <c r="A59" s="74"/>
      <c r="B59" s="59" t="str">
        <f t="shared" si="0"/>
        <v/>
      </c>
      <c r="C59" s="74"/>
      <c r="D59" s="59" t="str">
        <f t="shared" si="1"/>
        <v/>
      </c>
      <c r="E59" s="75"/>
      <c r="F59" s="59" t="str">
        <f t="shared" si="2"/>
        <v/>
      </c>
      <c r="G59" s="64"/>
      <c r="H59" s="64"/>
      <c r="I59" s="64"/>
      <c r="J59" s="211"/>
      <c r="K59" s="212"/>
      <c r="L59" s="212"/>
      <c r="M59" s="211"/>
      <c r="N59" s="211"/>
      <c r="P59" t="str">
        <f t="shared" si="3"/>
        <v/>
      </c>
      <c r="Q59" t="str">
        <f t="shared" si="4"/>
        <v/>
      </c>
      <c r="U59">
        <v>3682</v>
      </c>
      <c r="V59" t="s">
        <v>688</v>
      </c>
      <c r="X59" t="str">
        <f t="shared" si="7"/>
        <v>36</v>
      </c>
      <c r="Y59" t="str">
        <f t="shared" si="8"/>
        <v>368</v>
      </c>
      <c r="AA59" t="s">
        <v>1017</v>
      </c>
      <c r="AB59" t="s">
        <v>1018</v>
      </c>
    </row>
    <row r="60" spans="1:28">
      <c r="A60" s="74"/>
      <c r="B60" s="59" t="str">
        <f t="shared" si="0"/>
        <v/>
      </c>
      <c r="C60" s="74"/>
      <c r="D60" s="59" t="str">
        <f t="shared" si="1"/>
        <v/>
      </c>
      <c r="E60" s="75"/>
      <c r="F60" s="59" t="str">
        <f t="shared" si="2"/>
        <v/>
      </c>
      <c r="G60" s="64"/>
      <c r="H60" s="64"/>
      <c r="I60" s="64"/>
      <c r="J60" s="211"/>
      <c r="K60" s="212"/>
      <c r="L60" s="212"/>
      <c r="M60" s="211"/>
      <c r="N60" s="211"/>
      <c r="P60" t="str">
        <f t="shared" si="3"/>
        <v/>
      </c>
      <c r="Q60" t="str">
        <f t="shared" si="4"/>
        <v/>
      </c>
      <c r="U60">
        <v>3691</v>
      </c>
      <c r="V60" t="s">
        <v>689</v>
      </c>
      <c r="X60" t="str">
        <f t="shared" si="7"/>
        <v>36</v>
      </c>
      <c r="Y60" t="str">
        <f t="shared" si="8"/>
        <v>369</v>
      </c>
      <c r="AA60" t="s">
        <v>1019</v>
      </c>
      <c r="AB60" t="s">
        <v>1020</v>
      </c>
    </row>
    <row r="61" spans="1:28">
      <c r="A61" s="74"/>
      <c r="B61" s="59" t="str">
        <f t="shared" si="0"/>
        <v/>
      </c>
      <c r="C61" s="74"/>
      <c r="D61" s="59" t="str">
        <f t="shared" si="1"/>
        <v/>
      </c>
      <c r="E61" s="75"/>
      <c r="F61" s="59" t="str">
        <f t="shared" si="2"/>
        <v/>
      </c>
      <c r="G61" s="64"/>
      <c r="H61" s="64"/>
      <c r="I61" s="64"/>
      <c r="J61" s="211"/>
      <c r="K61" s="212"/>
      <c r="L61" s="212"/>
      <c r="M61" s="211"/>
      <c r="N61" s="211"/>
      <c r="P61" t="str">
        <f t="shared" si="3"/>
        <v/>
      </c>
      <c r="Q61" t="str">
        <f t="shared" si="4"/>
        <v/>
      </c>
      <c r="U61">
        <v>3692</v>
      </c>
      <c r="V61" t="s">
        <v>690</v>
      </c>
      <c r="X61" t="str">
        <f t="shared" si="7"/>
        <v>36</v>
      </c>
      <c r="Y61" t="str">
        <f t="shared" si="8"/>
        <v>369</v>
      </c>
      <c r="AA61" t="s">
        <v>1021</v>
      </c>
      <c r="AB61" t="s">
        <v>1022</v>
      </c>
    </row>
    <row r="62" spans="1:28">
      <c r="A62" s="74"/>
      <c r="B62" s="59" t="str">
        <f t="shared" si="0"/>
        <v/>
      </c>
      <c r="C62" s="74"/>
      <c r="D62" s="59" t="str">
        <f t="shared" si="1"/>
        <v/>
      </c>
      <c r="E62" s="75"/>
      <c r="F62" s="59" t="str">
        <f t="shared" si="2"/>
        <v/>
      </c>
      <c r="G62" s="64"/>
      <c r="H62" s="64"/>
      <c r="I62" s="64"/>
      <c r="J62" s="211"/>
      <c r="K62" s="212"/>
      <c r="L62" s="212"/>
      <c r="M62" s="211"/>
      <c r="N62" s="211"/>
      <c r="P62" t="str">
        <f t="shared" si="3"/>
        <v/>
      </c>
      <c r="Q62" t="str">
        <f t="shared" si="4"/>
        <v/>
      </c>
      <c r="U62">
        <v>3693</v>
      </c>
      <c r="V62" t="s">
        <v>689</v>
      </c>
      <c r="X62" t="str">
        <f t="shared" si="7"/>
        <v>36</v>
      </c>
      <c r="Y62" t="str">
        <f t="shared" si="8"/>
        <v>369</v>
      </c>
      <c r="AA62" t="s">
        <v>1023</v>
      </c>
      <c r="AB62" t="s">
        <v>1024</v>
      </c>
    </row>
    <row r="63" spans="1:28">
      <c r="A63" s="74"/>
      <c r="B63" s="59" t="str">
        <f t="shared" si="0"/>
        <v/>
      </c>
      <c r="C63" s="74"/>
      <c r="D63" s="59" t="str">
        <f t="shared" si="1"/>
        <v/>
      </c>
      <c r="E63" s="75"/>
      <c r="F63" s="59" t="str">
        <f t="shared" si="2"/>
        <v/>
      </c>
      <c r="G63" s="64"/>
      <c r="H63" s="64"/>
      <c r="I63" s="64"/>
      <c r="J63" s="211"/>
      <c r="K63" s="212"/>
      <c r="L63" s="212"/>
      <c r="M63" s="211"/>
      <c r="N63" s="211"/>
      <c r="P63" t="str">
        <f t="shared" si="3"/>
        <v/>
      </c>
      <c r="Q63" t="str">
        <f t="shared" si="4"/>
        <v/>
      </c>
      <c r="U63">
        <v>3694</v>
      </c>
      <c r="V63" t="s">
        <v>690</v>
      </c>
      <c r="X63" t="str">
        <f t="shared" si="7"/>
        <v>36</v>
      </c>
      <c r="Y63" t="str">
        <f t="shared" si="8"/>
        <v>369</v>
      </c>
      <c r="AA63" t="s">
        <v>1025</v>
      </c>
      <c r="AB63" t="s">
        <v>1026</v>
      </c>
    </row>
    <row r="64" spans="1:28">
      <c r="A64" s="74"/>
      <c r="B64" s="59" t="str">
        <f t="shared" si="0"/>
        <v/>
      </c>
      <c r="C64" s="74"/>
      <c r="D64" s="59" t="str">
        <f t="shared" si="1"/>
        <v/>
      </c>
      <c r="E64" s="75"/>
      <c r="F64" s="59" t="str">
        <f t="shared" si="2"/>
        <v/>
      </c>
      <c r="G64" s="64"/>
      <c r="H64" s="64"/>
      <c r="I64" s="64"/>
      <c r="J64" s="211"/>
      <c r="K64" s="212"/>
      <c r="L64" s="212"/>
      <c r="M64" s="211"/>
      <c r="N64" s="211"/>
      <c r="P64" t="str">
        <f t="shared" si="3"/>
        <v/>
      </c>
      <c r="Q64" t="str">
        <f t="shared" si="4"/>
        <v/>
      </c>
      <c r="U64">
        <v>3711</v>
      </c>
      <c r="V64" t="s">
        <v>691</v>
      </c>
      <c r="X64" t="str">
        <f t="shared" si="7"/>
        <v>37</v>
      </c>
      <c r="Y64" t="str">
        <f t="shared" si="8"/>
        <v>371</v>
      </c>
      <c r="AA64" t="s">
        <v>1027</v>
      </c>
      <c r="AB64" t="s">
        <v>1028</v>
      </c>
    </row>
    <row r="65" spans="1:28">
      <c r="A65" s="74"/>
      <c r="B65" s="59" t="str">
        <f t="shared" si="0"/>
        <v/>
      </c>
      <c r="C65" s="74"/>
      <c r="D65" s="59" t="str">
        <f t="shared" si="1"/>
        <v/>
      </c>
      <c r="E65" s="75"/>
      <c r="F65" s="59" t="str">
        <f t="shared" si="2"/>
        <v/>
      </c>
      <c r="G65" s="64"/>
      <c r="H65" s="64"/>
      <c r="I65" s="64"/>
      <c r="J65" s="211"/>
      <c r="K65" s="212"/>
      <c r="L65" s="212"/>
      <c r="M65" s="211"/>
      <c r="N65" s="211"/>
      <c r="P65" t="str">
        <f t="shared" si="3"/>
        <v/>
      </c>
      <c r="Q65" t="str">
        <f t="shared" si="4"/>
        <v/>
      </c>
      <c r="U65">
        <v>3712</v>
      </c>
      <c r="V65" t="s">
        <v>692</v>
      </c>
      <c r="X65" t="str">
        <f t="shared" si="7"/>
        <v>37</v>
      </c>
      <c r="Y65" t="str">
        <f t="shared" si="8"/>
        <v>371</v>
      </c>
      <c r="AA65" t="s">
        <v>1029</v>
      </c>
      <c r="AB65" t="s">
        <v>1030</v>
      </c>
    </row>
    <row r="66" spans="1:28">
      <c r="A66" s="74"/>
      <c r="B66" s="59" t="str">
        <f t="shared" si="0"/>
        <v/>
      </c>
      <c r="C66" s="74"/>
      <c r="D66" s="59" t="str">
        <f t="shared" si="1"/>
        <v/>
      </c>
      <c r="E66" s="75"/>
      <c r="F66" s="59" t="str">
        <f t="shared" si="2"/>
        <v/>
      </c>
      <c r="G66" s="64"/>
      <c r="H66" s="64"/>
      <c r="I66" s="64"/>
      <c r="J66" s="211"/>
      <c r="K66" s="212"/>
      <c r="L66" s="212"/>
      <c r="M66" s="211"/>
      <c r="N66" s="211"/>
      <c r="P66" t="str">
        <f t="shared" si="3"/>
        <v/>
      </c>
      <c r="Q66" t="str">
        <f t="shared" si="4"/>
        <v/>
      </c>
      <c r="U66">
        <v>3713</v>
      </c>
      <c r="V66" t="s">
        <v>693</v>
      </c>
      <c r="X66" t="str">
        <f t="shared" si="7"/>
        <v>37</v>
      </c>
      <c r="Y66" t="str">
        <f t="shared" si="8"/>
        <v>371</v>
      </c>
      <c r="AA66" t="s">
        <v>1031</v>
      </c>
      <c r="AB66" t="s">
        <v>1032</v>
      </c>
    </row>
    <row r="67" spans="1:28">
      <c r="A67" s="74"/>
      <c r="B67" s="59" t="str">
        <f t="shared" ref="B67:B130" si="9">IFERROR(VLOOKUP(A67,$R$6:$S$16,2,0),"")</f>
        <v/>
      </c>
      <c r="C67" s="74"/>
      <c r="D67" s="59" t="str">
        <f t="shared" ref="D67:D130" si="10">IFERROR(VLOOKUP(C67,$U$5:$W$129,2,0),"")</f>
        <v/>
      </c>
      <c r="E67" s="75"/>
      <c r="F67" s="59" t="str">
        <f t="shared" ref="F67:F130" si="11">IFERROR(VLOOKUP(E67,$AA$6:$AB$200,2,0),"")</f>
        <v/>
      </c>
      <c r="G67" s="64"/>
      <c r="H67" s="64"/>
      <c r="I67" s="64"/>
      <c r="J67" s="211"/>
      <c r="K67" s="212"/>
      <c r="L67" s="212"/>
      <c r="M67" s="211"/>
      <c r="N67" s="211"/>
      <c r="P67" t="str">
        <f t="shared" ref="P67:P130" si="12">LEFT(C67,3)</f>
        <v/>
      </c>
      <c r="Q67" t="str">
        <f t="shared" ref="Q67:Q130" si="13">LEFT(C67,2)</f>
        <v/>
      </c>
      <c r="U67">
        <v>3714</v>
      </c>
      <c r="V67" t="s">
        <v>694</v>
      </c>
      <c r="X67" t="str">
        <f t="shared" si="7"/>
        <v>37</v>
      </c>
      <c r="Y67" t="str">
        <f t="shared" si="8"/>
        <v>371</v>
      </c>
      <c r="AA67" t="s">
        <v>1033</v>
      </c>
      <c r="AB67" t="s">
        <v>1034</v>
      </c>
    </row>
    <row r="68" spans="1:28">
      <c r="A68" s="74"/>
      <c r="B68" s="59" t="str">
        <f t="shared" si="9"/>
        <v/>
      </c>
      <c r="C68" s="74"/>
      <c r="D68" s="59" t="str">
        <f t="shared" si="10"/>
        <v/>
      </c>
      <c r="E68" s="75"/>
      <c r="F68" s="59" t="str">
        <f t="shared" si="11"/>
        <v/>
      </c>
      <c r="G68" s="64"/>
      <c r="H68" s="64"/>
      <c r="I68" s="64"/>
      <c r="J68" s="211"/>
      <c r="K68" s="212"/>
      <c r="L68" s="212"/>
      <c r="M68" s="211"/>
      <c r="N68" s="211"/>
      <c r="P68" t="str">
        <f t="shared" si="12"/>
        <v/>
      </c>
      <c r="Q68" t="str">
        <f t="shared" si="13"/>
        <v/>
      </c>
      <c r="U68">
        <v>3715</v>
      </c>
      <c r="V68" t="s">
        <v>695</v>
      </c>
      <c r="X68" t="str">
        <f t="shared" si="7"/>
        <v>37</v>
      </c>
      <c r="Y68" t="str">
        <f t="shared" si="8"/>
        <v>371</v>
      </c>
      <c r="AA68" t="s">
        <v>1035</v>
      </c>
      <c r="AB68" t="s">
        <v>1036</v>
      </c>
    </row>
    <row r="69" spans="1:28">
      <c r="A69" s="74"/>
      <c r="B69" s="59" t="str">
        <f t="shared" si="9"/>
        <v/>
      </c>
      <c r="C69" s="74"/>
      <c r="D69" s="59" t="str">
        <f t="shared" si="10"/>
        <v/>
      </c>
      <c r="E69" s="75"/>
      <c r="F69" s="59" t="str">
        <f t="shared" si="11"/>
        <v/>
      </c>
      <c r="G69" s="64"/>
      <c r="H69" s="64"/>
      <c r="I69" s="64"/>
      <c r="J69" s="211"/>
      <c r="K69" s="212"/>
      <c r="L69" s="212"/>
      <c r="M69" s="211"/>
      <c r="N69" s="211"/>
      <c r="P69" t="str">
        <f t="shared" si="12"/>
        <v/>
      </c>
      <c r="Q69" t="str">
        <f t="shared" si="13"/>
        <v/>
      </c>
      <c r="U69">
        <v>3721</v>
      </c>
      <c r="V69" t="s">
        <v>696</v>
      </c>
      <c r="X69" t="str">
        <f t="shared" ref="X69:X100" si="14">LEFT(U69,2)</f>
        <v>37</v>
      </c>
      <c r="Y69" t="str">
        <f t="shared" ref="Y69:Y100" si="15">LEFT(U69,3)</f>
        <v>372</v>
      </c>
      <c r="AA69" t="s">
        <v>1037</v>
      </c>
      <c r="AB69" t="s">
        <v>1038</v>
      </c>
    </row>
    <row r="70" spans="1:28">
      <c r="A70" s="74"/>
      <c r="B70" s="59" t="str">
        <f t="shared" si="9"/>
        <v/>
      </c>
      <c r="C70" s="74"/>
      <c r="D70" s="59" t="str">
        <f t="shared" si="10"/>
        <v/>
      </c>
      <c r="E70" s="75"/>
      <c r="F70" s="59" t="str">
        <f t="shared" si="11"/>
        <v/>
      </c>
      <c r="G70" s="64"/>
      <c r="H70" s="64"/>
      <c r="I70" s="64"/>
      <c r="J70" s="211"/>
      <c r="K70" s="212"/>
      <c r="L70" s="212"/>
      <c r="M70" s="211"/>
      <c r="N70" s="211"/>
      <c r="P70" t="str">
        <f t="shared" si="12"/>
        <v/>
      </c>
      <c r="Q70" t="str">
        <f t="shared" si="13"/>
        <v/>
      </c>
      <c r="U70">
        <v>3722</v>
      </c>
      <c r="V70" t="s">
        <v>697</v>
      </c>
      <c r="X70" t="str">
        <f t="shared" si="14"/>
        <v>37</v>
      </c>
      <c r="Y70" t="str">
        <f t="shared" si="15"/>
        <v>372</v>
      </c>
      <c r="AA70" t="s">
        <v>1039</v>
      </c>
      <c r="AB70" t="s">
        <v>1040</v>
      </c>
    </row>
    <row r="71" spans="1:28">
      <c r="A71" s="74"/>
      <c r="B71" s="59" t="str">
        <f t="shared" si="9"/>
        <v/>
      </c>
      <c r="C71" s="74"/>
      <c r="D71" s="59" t="str">
        <f t="shared" si="10"/>
        <v/>
      </c>
      <c r="E71" s="75"/>
      <c r="F71" s="59" t="str">
        <f t="shared" si="11"/>
        <v/>
      </c>
      <c r="G71" s="64"/>
      <c r="H71" s="64"/>
      <c r="I71" s="64"/>
      <c r="J71" s="211"/>
      <c r="K71" s="212"/>
      <c r="L71" s="212"/>
      <c r="M71" s="211"/>
      <c r="N71" s="211"/>
      <c r="P71" t="str">
        <f t="shared" si="12"/>
        <v/>
      </c>
      <c r="Q71" t="str">
        <f t="shared" si="13"/>
        <v/>
      </c>
      <c r="U71">
        <v>3723</v>
      </c>
      <c r="V71" t="s">
        <v>698</v>
      </c>
      <c r="X71" t="str">
        <f t="shared" si="14"/>
        <v>37</v>
      </c>
      <c r="Y71" t="str">
        <f t="shared" si="15"/>
        <v>372</v>
      </c>
      <c r="AA71" t="s">
        <v>1041</v>
      </c>
      <c r="AB71" t="s">
        <v>1042</v>
      </c>
    </row>
    <row r="72" spans="1:28">
      <c r="A72" s="74"/>
      <c r="B72" s="59" t="str">
        <f t="shared" si="9"/>
        <v/>
      </c>
      <c r="C72" s="74"/>
      <c r="D72" s="59" t="str">
        <f t="shared" si="10"/>
        <v/>
      </c>
      <c r="E72" s="75"/>
      <c r="F72" s="59" t="str">
        <f t="shared" si="11"/>
        <v/>
      </c>
      <c r="G72" s="64"/>
      <c r="H72" s="64"/>
      <c r="I72" s="64"/>
      <c r="J72" s="211"/>
      <c r="K72" s="212"/>
      <c r="L72" s="212"/>
      <c r="M72" s="211"/>
      <c r="N72" s="211"/>
      <c r="P72" t="str">
        <f t="shared" si="12"/>
        <v/>
      </c>
      <c r="Q72" t="str">
        <f t="shared" si="13"/>
        <v/>
      </c>
      <c r="U72">
        <v>3811</v>
      </c>
      <c r="V72" t="s">
        <v>699</v>
      </c>
      <c r="X72" t="str">
        <f t="shared" si="14"/>
        <v>38</v>
      </c>
      <c r="Y72" t="str">
        <f t="shared" si="15"/>
        <v>381</v>
      </c>
      <c r="AA72" t="s">
        <v>1043</v>
      </c>
      <c r="AB72" t="s">
        <v>1044</v>
      </c>
    </row>
    <row r="73" spans="1:28">
      <c r="A73" s="74"/>
      <c r="B73" s="59" t="str">
        <f t="shared" si="9"/>
        <v/>
      </c>
      <c r="C73" s="74"/>
      <c r="D73" s="59" t="str">
        <f t="shared" si="10"/>
        <v/>
      </c>
      <c r="E73" s="75"/>
      <c r="F73" s="59" t="str">
        <f t="shared" si="11"/>
        <v/>
      </c>
      <c r="G73" s="64"/>
      <c r="H73" s="64"/>
      <c r="I73" s="64"/>
      <c r="J73" s="211"/>
      <c r="K73" s="212"/>
      <c r="L73" s="212"/>
      <c r="M73" s="211"/>
      <c r="N73" s="211"/>
      <c r="P73" t="str">
        <f t="shared" si="12"/>
        <v/>
      </c>
      <c r="Q73" t="str">
        <f t="shared" si="13"/>
        <v/>
      </c>
      <c r="U73">
        <v>3812</v>
      </c>
      <c r="V73" t="s">
        <v>700</v>
      </c>
      <c r="X73" t="str">
        <f t="shared" si="14"/>
        <v>38</v>
      </c>
      <c r="Y73" t="str">
        <f t="shared" si="15"/>
        <v>381</v>
      </c>
      <c r="AA73" t="s">
        <v>1045</v>
      </c>
      <c r="AB73" t="s">
        <v>1046</v>
      </c>
    </row>
    <row r="74" spans="1:28">
      <c r="A74" s="74"/>
      <c r="B74" s="59" t="str">
        <f t="shared" si="9"/>
        <v/>
      </c>
      <c r="C74" s="74"/>
      <c r="D74" s="59" t="str">
        <f t="shared" si="10"/>
        <v/>
      </c>
      <c r="E74" s="75"/>
      <c r="F74" s="59" t="str">
        <f t="shared" si="11"/>
        <v/>
      </c>
      <c r="G74" s="64"/>
      <c r="H74" s="64"/>
      <c r="I74" s="64"/>
      <c r="J74" s="211"/>
      <c r="K74" s="212"/>
      <c r="L74" s="212"/>
      <c r="M74" s="211"/>
      <c r="N74" s="211"/>
      <c r="P74" t="str">
        <f t="shared" si="12"/>
        <v/>
      </c>
      <c r="Q74" t="str">
        <f t="shared" si="13"/>
        <v/>
      </c>
      <c r="U74">
        <v>3813</v>
      </c>
      <c r="V74" t="s">
        <v>701</v>
      </c>
      <c r="X74" t="str">
        <f t="shared" si="14"/>
        <v>38</v>
      </c>
      <c r="Y74" t="str">
        <f t="shared" si="15"/>
        <v>381</v>
      </c>
      <c r="AA74" t="s">
        <v>1047</v>
      </c>
      <c r="AB74" t="s">
        <v>1048</v>
      </c>
    </row>
    <row r="75" spans="1:28">
      <c r="A75" s="74"/>
      <c r="B75" s="59" t="str">
        <f t="shared" si="9"/>
        <v/>
      </c>
      <c r="C75" s="74"/>
      <c r="D75" s="59" t="str">
        <f t="shared" si="10"/>
        <v/>
      </c>
      <c r="E75" s="75"/>
      <c r="F75" s="59" t="str">
        <f t="shared" si="11"/>
        <v/>
      </c>
      <c r="G75" s="64"/>
      <c r="H75" s="64"/>
      <c r="I75" s="64"/>
      <c r="J75" s="211"/>
      <c r="K75" s="212"/>
      <c r="L75" s="212"/>
      <c r="M75" s="211"/>
      <c r="N75" s="211"/>
      <c r="P75" t="str">
        <f t="shared" si="12"/>
        <v/>
      </c>
      <c r="Q75" t="str">
        <f t="shared" si="13"/>
        <v/>
      </c>
      <c r="U75">
        <v>3821</v>
      </c>
      <c r="V75" t="s">
        <v>702</v>
      </c>
      <c r="X75" t="str">
        <f t="shared" si="14"/>
        <v>38</v>
      </c>
      <c r="Y75" t="str">
        <f t="shared" si="15"/>
        <v>382</v>
      </c>
      <c r="AA75" t="s">
        <v>1049</v>
      </c>
      <c r="AB75" t="s">
        <v>1050</v>
      </c>
    </row>
    <row r="76" spans="1:28">
      <c r="A76" s="74"/>
      <c r="B76" s="59" t="str">
        <f t="shared" si="9"/>
        <v/>
      </c>
      <c r="C76" s="74"/>
      <c r="D76" s="59" t="str">
        <f t="shared" si="10"/>
        <v/>
      </c>
      <c r="E76" s="75"/>
      <c r="F76" s="59" t="str">
        <f t="shared" si="11"/>
        <v/>
      </c>
      <c r="G76" s="64"/>
      <c r="H76" s="64"/>
      <c r="I76" s="64"/>
      <c r="J76" s="211"/>
      <c r="K76" s="212"/>
      <c r="L76" s="212"/>
      <c r="M76" s="211"/>
      <c r="N76" s="211"/>
      <c r="P76" t="str">
        <f t="shared" si="12"/>
        <v/>
      </c>
      <c r="Q76" t="str">
        <f t="shared" si="13"/>
        <v/>
      </c>
      <c r="U76">
        <v>3831</v>
      </c>
      <c r="V76" t="s">
        <v>703</v>
      </c>
      <c r="X76" t="str">
        <f t="shared" si="14"/>
        <v>38</v>
      </c>
      <c r="Y76" t="str">
        <f t="shared" si="15"/>
        <v>383</v>
      </c>
      <c r="AA76" t="s">
        <v>1051</v>
      </c>
      <c r="AB76" t="s">
        <v>1052</v>
      </c>
    </row>
    <row r="77" spans="1:28">
      <c r="A77" s="74"/>
      <c r="B77" s="59" t="str">
        <f t="shared" si="9"/>
        <v/>
      </c>
      <c r="C77" s="74"/>
      <c r="D77" s="59" t="str">
        <f t="shared" si="10"/>
        <v/>
      </c>
      <c r="E77" s="75"/>
      <c r="F77" s="59" t="str">
        <f t="shared" si="11"/>
        <v/>
      </c>
      <c r="G77" s="64"/>
      <c r="H77" s="64"/>
      <c r="I77" s="64"/>
      <c r="J77" s="211"/>
      <c r="K77" s="212"/>
      <c r="L77" s="212"/>
      <c r="M77" s="211"/>
      <c r="N77" s="211"/>
      <c r="P77" t="str">
        <f t="shared" si="12"/>
        <v/>
      </c>
      <c r="Q77" t="str">
        <f t="shared" si="13"/>
        <v/>
      </c>
      <c r="U77">
        <v>3832</v>
      </c>
      <c r="V77" t="s">
        <v>704</v>
      </c>
      <c r="X77" t="str">
        <f t="shared" si="14"/>
        <v>38</v>
      </c>
      <c r="Y77" t="str">
        <f t="shared" si="15"/>
        <v>383</v>
      </c>
      <c r="AA77" t="s">
        <v>1053</v>
      </c>
      <c r="AB77" t="s">
        <v>1054</v>
      </c>
    </row>
    <row r="78" spans="1:28">
      <c r="A78" s="74"/>
      <c r="B78" s="59" t="str">
        <f t="shared" si="9"/>
        <v/>
      </c>
      <c r="C78" s="74"/>
      <c r="D78" s="59" t="str">
        <f t="shared" si="10"/>
        <v/>
      </c>
      <c r="E78" s="75"/>
      <c r="F78" s="59" t="str">
        <f t="shared" si="11"/>
        <v/>
      </c>
      <c r="G78" s="64"/>
      <c r="H78" s="64"/>
      <c r="I78" s="64"/>
      <c r="J78" s="211"/>
      <c r="K78" s="212"/>
      <c r="L78" s="212"/>
      <c r="M78" s="211"/>
      <c r="N78" s="211"/>
      <c r="P78" t="str">
        <f t="shared" si="12"/>
        <v/>
      </c>
      <c r="Q78" t="str">
        <f t="shared" si="13"/>
        <v/>
      </c>
      <c r="U78">
        <v>3833</v>
      </c>
      <c r="V78" t="s">
        <v>705</v>
      </c>
      <c r="X78" t="str">
        <f t="shared" si="14"/>
        <v>38</v>
      </c>
      <c r="Y78" t="str">
        <f t="shared" si="15"/>
        <v>383</v>
      </c>
      <c r="AA78" t="s">
        <v>1055</v>
      </c>
      <c r="AB78" t="s">
        <v>1056</v>
      </c>
    </row>
    <row r="79" spans="1:28">
      <c r="A79" s="74"/>
      <c r="B79" s="59" t="str">
        <f t="shared" si="9"/>
        <v/>
      </c>
      <c r="C79" s="74"/>
      <c r="D79" s="59" t="str">
        <f t="shared" si="10"/>
        <v/>
      </c>
      <c r="E79" s="75"/>
      <c r="F79" s="59" t="str">
        <f t="shared" si="11"/>
        <v/>
      </c>
      <c r="G79" s="64"/>
      <c r="H79" s="64"/>
      <c r="I79" s="64"/>
      <c r="J79" s="211"/>
      <c r="K79" s="212"/>
      <c r="L79" s="212"/>
      <c r="M79" s="211"/>
      <c r="N79" s="211"/>
      <c r="P79" t="str">
        <f t="shared" si="12"/>
        <v/>
      </c>
      <c r="Q79" t="str">
        <f t="shared" si="13"/>
        <v/>
      </c>
      <c r="U79">
        <v>3834</v>
      </c>
      <c r="V79" t="s">
        <v>706</v>
      </c>
      <c r="X79" t="str">
        <f t="shared" si="14"/>
        <v>38</v>
      </c>
      <c r="Y79" t="str">
        <f t="shared" si="15"/>
        <v>383</v>
      </c>
      <c r="AA79" t="s">
        <v>1057</v>
      </c>
      <c r="AB79" t="s">
        <v>1058</v>
      </c>
    </row>
    <row r="80" spans="1:28">
      <c r="A80" s="74"/>
      <c r="B80" s="59" t="str">
        <f t="shared" si="9"/>
        <v/>
      </c>
      <c r="C80" s="74"/>
      <c r="D80" s="59" t="str">
        <f t="shared" si="10"/>
        <v/>
      </c>
      <c r="E80" s="75"/>
      <c r="F80" s="59" t="str">
        <f t="shared" si="11"/>
        <v/>
      </c>
      <c r="G80" s="64"/>
      <c r="H80" s="64"/>
      <c r="I80" s="64"/>
      <c r="J80" s="211"/>
      <c r="K80" s="212"/>
      <c r="L80" s="212"/>
      <c r="M80" s="211"/>
      <c r="N80" s="211"/>
      <c r="P80" t="str">
        <f t="shared" si="12"/>
        <v/>
      </c>
      <c r="Q80" t="str">
        <f t="shared" si="13"/>
        <v/>
      </c>
      <c r="U80">
        <v>3835</v>
      </c>
      <c r="V80" t="s">
        <v>707</v>
      </c>
      <c r="X80" t="str">
        <f t="shared" si="14"/>
        <v>38</v>
      </c>
      <c r="Y80" t="str">
        <f t="shared" si="15"/>
        <v>383</v>
      </c>
      <c r="AA80" t="s">
        <v>1059</v>
      </c>
      <c r="AB80" t="s">
        <v>1060</v>
      </c>
    </row>
    <row r="81" spans="1:28">
      <c r="A81" s="74"/>
      <c r="B81" s="59" t="str">
        <f t="shared" si="9"/>
        <v/>
      </c>
      <c r="C81" s="74"/>
      <c r="D81" s="59" t="str">
        <f t="shared" si="10"/>
        <v/>
      </c>
      <c r="E81" s="75"/>
      <c r="F81" s="59" t="str">
        <f t="shared" si="11"/>
        <v/>
      </c>
      <c r="G81" s="64"/>
      <c r="H81" s="64"/>
      <c r="I81" s="64"/>
      <c r="J81" s="211"/>
      <c r="K81" s="212"/>
      <c r="L81" s="212"/>
      <c r="M81" s="211"/>
      <c r="N81" s="211"/>
      <c r="P81" t="str">
        <f t="shared" si="12"/>
        <v/>
      </c>
      <c r="Q81" t="str">
        <f t="shared" si="13"/>
        <v/>
      </c>
      <c r="U81">
        <v>3861</v>
      </c>
      <c r="V81" s="78" t="s">
        <v>708</v>
      </c>
      <c r="X81" t="str">
        <f t="shared" si="14"/>
        <v>38</v>
      </c>
      <c r="Y81" t="str">
        <f t="shared" si="15"/>
        <v>386</v>
      </c>
      <c r="AA81" t="s">
        <v>1061</v>
      </c>
      <c r="AB81" t="s">
        <v>1062</v>
      </c>
    </row>
    <row r="82" spans="1:28">
      <c r="A82" s="74"/>
      <c r="B82" s="59" t="str">
        <f t="shared" si="9"/>
        <v/>
      </c>
      <c r="C82" s="74"/>
      <c r="D82" s="59" t="str">
        <f t="shared" si="10"/>
        <v/>
      </c>
      <c r="E82" s="75"/>
      <c r="F82" s="59" t="str">
        <f t="shared" si="11"/>
        <v/>
      </c>
      <c r="G82" s="64"/>
      <c r="H82" s="64"/>
      <c r="I82" s="64"/>
      <c r="J82" s="211"/>
      <c r="K82" s="212"/>
      <c r="L82" s="212"/>
      <c r="M82" s="211"/>
      <c r="N82" s="211"/>
      <c r="P82" t="str">
        <f t="shared" si="12"/>
        <v/>
      </c>
      <c r="Q82" t="str">
        <f t="shared" si="13"/>
        <v/>
      </c>
      <c r="U82">
        <v>3862</v>
      </c>
      <c r="V82" t="s">
        <v>709</v>
      </c>
      <c r="X82" t="str">
        <f t="shared" si="14"/>
        <v>38</v>
      </c>
      <c r="Y82" t="str">
        <f t="shared" si="15"/>
        <v>386</v>
      </c>
      <c r="AA82" t="s">
        <v>1063</v>
      </c>
      <c r="AB82" t="s">
        <v>1064</v>
      </c>
    </row>
    <row r="83" spans="1:28">
      <c r="A83" s="74"/>
      <c r="B83" s="59" t="str">
        <f t="shared" si="9"/>
        <v/>
      </c>
      <c r="C83" s="74"/>
      <c r="D83" s="59" t="str">
        <f t="shared" si="10"/>
        <v/>
      </c>
      <c r="E83" s="75"/>
      <c r="F83" s="59" t="str">
        <f t="shared" si="11"/>
        <v/>
      </c>
      <c r="G83" s="64"/>
      <c r="H83" s="64"/>
      <c r="I83" s="64"/>
      <c r="J83" s="211"/>
      <c r="K83" s="212"/>
      <c r="L83" s="212"/>
      <c r="M83" s="211"/>
      <c r="N83" s="211"/>
      <c r="P83" t="str">
        <f t="shared" si="12"/>
        <v/>
      </c>
      <c r="Q83" t="str">
        <f t="shared" si="13"/>
        <v/>
      </c>
      <c r="U83">
        <v>3863</v>
      </c>
      <c r="V83" t="s">
        <v>710</v>
      </c>
      <c r="X83" t="str">
        <f t="shared" si="14"/>
        <v>38</v>
      </c>
      <c r="Y83" t="str">
        <f t="shared" si="15"/>
        <v>386</v>
      </c>
      <c r="AA83" t="s">
        <v>1065</v>
      </c>
      <c r="AB83" t="s">
        <v>1066</v>
      </c>
    </row>
    <row r="84" spans="1:28">
      <c r="A84" s="74"/>
      <c r="B84" s="59" t="str">
        <f t="shared" si="9"/>
        <v/>
      </c>
      <c r="C84" s="74"/>
      <c r="D84" s="59" t="str">
        <f t="shared" si="10"/>
        <v/>
      </c>
      <c r="E84" s="75"/>
      <c r="F84" s="59" t="str">
        <f t="shared" si="11"/>
        <v/>
      </c>
      <c r="G84" s="64"/>
      <c r="H84" s="64"/>
      <c r="I84" s="64"/>
      <c r="J84" s="211"/>
      <c r="K84" s="212"/>
      <c r="L84" s="212"/>
      <c r="M84" s="211"/>
      <c r="N84" s="211"/>
      <c r="P84" t="str">
        <f t="shared" si="12"/>
        <v/>
      </c>
      <c r="Q84" t="str">
        <f t="shared" si="13"/>
        <v/>
      </c>
      <c r="U84">
        <v>4111</v>
      </c>
      <c r="V84" t="s">
        <v>711</v>
      </c>
      <c r="X84" t="str">
        <f t="shared" si="14"/>
        <v>41</v>
      </c>
      <c r="Y84" t="str">
        <f t="shared" si="15"/>
        <v>411</v>
      </c>
      <c r="AA84" t="s">
        <v>1067</v>
      </c>
      <c r="AB84" t="s">
        <v>1068</v>
      </c>
    </row>
    <row r="85" spans="1:28">
      <c r="A85" s="74"/>
      <c r="B85" s="59" t="str">
        <f t="shared" si="9"/>
        <v/>
      </c>
      <c r="C85" s="74"/>
      <c r="D85" s="59" t="str">
        <f t="shared" si="10"/>
        <v/>
      </c>
      <c r="E85" s="75"/>
      <c r="F85" s="59" t="str">
        <f t="shared" si="11"/>
        <v/>
      </c>
      <c r="G85" s="64"/>
      <c r="H85" s="64"/>
      <c r="I85" s="64"/>
      <c r="J85" s="211"/>
      <c r="K85" s="212"/>
      <c r="L85" s="212"/>
      <c r="M85" s="211"/>
      <c r="N85" s="211"/>
      <c r="P85" t="str">
        <f t="shared" si="12"/>
        <v/>
      </c>
      <c r="Q85" t="str">
        <f t="shared" si="13"/>
        <v/>
      </c>
      <c r="U85">
        <v>4113</v>
      </c>
      <c r="V85" t="s">
        <v>712</v>
      </c>
      <c r="X85" t="str">
        <f t="shared" si="14"/>
        <v>41</v>
      </c>
      <c r="Y85" t="str">
        <f t="shared" si="15"/>
        <v>411</v>
      </c>
      <c r="AA85" t="s">
        <v>1069</v>
      </c>
      <c r="AB85" t="s">
        <v>1070</v>
      </c>
    </row>
    <row r="86" spans="1:28">
      <c r="A86" s="74"/>
      <c r="B86" s="59" t="str">
        <f t="shared" si="9"/>
        <v/>
      </c>
      <c r="C86" s="74"/>
      <c r="D86" s="59" t="str">
        <f t="shared" si="10"/>
        <v/>
      </c>
      <c r="E86" s="75"/>
      <c r="F86" s="59" t="str">
        <f t="shared" si="11"/>
        <v/>
      </c>
      <c r="G86" s="64"/>
      <c r="H86" s="64"/>
      <c r="I86" s="64"/>
      <c r="J86" s="211"/>
      <c r="K86" s="212"/>
      <c r="L86" s="212"/>
      <c r="M86" s="211"/>
      <c r="N86" s="211"/>
      <c r="P86" t="str">
        <f t="shared" si="12"/>
        <v/>
      </c>
      <c r="Q86" t="str">
        <f t="shared" si="13"/>
        <v/>
      </c>
      <c r="U86">
        <v>4122</v>
      </c>
      <c r="V86" t="s">
        <v>713</v>
      </c>
      <c r="X86" t="str">
        <f t="shared" si="14"/>
        <v>41</v>
      </c>
      <c r="Y86" t="str">
        <f t="shared" si="15"/>
        <v>412</v>
      </c>
      <c r="AA86" t="s">
        <v>1071</v>
      </c>
      <c r="AB86" t="s">
        <v>1072</v>
      </c>
    </row>
    <row r="87" spans="1:28">
      <c r="A87" s="74"/>
      <c r="B87" s="59" t="str">
        <f t="shared" si="9"/>
        <v/>
      </c>
      <c r="C87" s="74"/>
      <c r="D87" s="59" t="str">
        <f t="shared" si="10"/>
        <v/>
      </c>
      <c r="E87" s="75"/>
      <c r="F87" s="59" t="str">
        <f t="shared" si="11"/>
        <v/>
      </c>
      <c r="G87" s="64"/>
      <c r="H87" s="64"/>
      <c r="I87" s="64"/>
      <c r="J87" s="211"/>
      <c r="K87" s="212"/>
      <c r="L87" s="212"/>
      <c r="M87" s="211"/>
      <c r="N87" s="211"/>
      <c r="P87" t="str">
        <f t="shared" si="12"/>
        <v/>
      </c>
      <c r="Q87" t="str">
        <f t="shared" si="13"/>
        <v/>
      </c>
      <c r="U87">
        <v>4123</v>
      </c>
      <c r="V87" t="s">
        <v>714</v>
      </c>
      <c r="X87" t="str">
        <f t="shared" si="14"/>
        <v>41</v>
      </c>
      <c r="Y87" t="str">
        <f t="shared" si="15"/>
        <v>412</v>
      </c>
      <c r="AA87" t="s">
        <v>1073</v>
      </c>
      <c r="AB87" t="s">
        <v>1072</v>
      </c>
    </row>
    <row r="88" spans="1:28">
      <c r="A88" s="74"/>
      <c r="B88" s="59" t="str">
        <f t="shared" si="9"/>
        <v/>
      </c>
      <c r="C88" s="74"/>
      <c r="D88" s="59" t="str">
        <f t="shared" si="10"/>
        <v/>
      </c>
      <c r="E88" s="75"/>
      <c r="F88" s="59" t="str">
        <f t="shared" si="11"/>
        <v/>
      </c>
      <c r="G88" s="64"/>
      <c r="H88" s="64"/>
      <c r="I88" s="64"/>
      <c r="J88" s="211"/>
      <c r="K88" s="212"/>
      <c r="L88" s="212"/>
      <c r="M88" s="211"/>
      <c r="N88" s="211"/>
      <c r="P88" t="str">
        <f t="shared" si="12"/>
        <v/>
      </c>
      <c r="Q88" t="str">
        <f t="shared" si="13"/>
        <v/>
      </c>
      <c r="U88">
        <v>4124</v>
      </c>
      <c r="V88" t="s">
        <v>715</v>
      </c>
      <c r="X88" t="str">
        <f t="shared" si="14"/>
        <v>41</v>
      </c>
      <c r="Y88" t="str">
        <f t="shared" si="15"/>
        <v>412</v>
      </c>
      <c r="AA88" t="s">
        <v>1074</v>
      </c>
      <c r="AB88" t="s">
        <v>1075</v>
      </c>
    </row>
    <row r="89" spans="1:28">
      <c r="A89" s="74"/>
      <c r="B89" s="59" t="str">
        <f t="shared" si="9"/>
        <v/>
      </c>
      <c r="C89" s="74"/>
      <c r="D89" s="59" t="str">
        <f t="shared" si="10"/>
        <v/>
      </c>
      <c r="E89" s="75"/>
      <c r="F89" s="59" t="str">
        <f t="shared" si="11"/>
        <v/>
      </c>
      <c r="G89" s="64"/>
      <c r="H89" s="64"/>
      <c r="I89" s="64"/>
      <c r="J89" s="211"/>
      <c r="K89" s="212"/>
      <c r="L89" s="212"/>
      <c r="M89" s="211"/>
      <c r="N89" s="211"/>
      <c r="P89" t="str">
        <f t="shared" si="12"/>
        <v/>
      </c>
      <c r="Q89" t="str">
        <f t="shared" si="13"/>
        <v/>
      </c>
      <c r="U89">
        <v>4126</v>
      </c>
      <c r="V89" t="s">
        <v>716</v>
      </c>
      <c r="X89" t="str">
        <f t="shared" si="14"/>
        <v>41</v>
      </c>
      <c r="Y89" t="str">
        <f t="shared" si="15"/>
        <v>412</v>
      </c>
      <c r="AA89" t="s">
        <v>1076</v>
      </c>
      <c r="AB89" t="s">
        <v>1077</v>
      </c>
    </row>
    <row r="90" spans="1:28">
      <c r="A90" s="74"/>
      <c r="B90" s="59" t="str">
        <f t="shared" si="9"/>
        <v/>
      </c>
      <c r="C90" s="74"/>
      <c r="D90" s="59" t="str">
        <f t="shared" si="10"/>
        <v/>
      </c>
      <c r="E90" s="75"/>
      <c r="F90" s="59" t="str">
        <f t="shared" si="11"/>
        <v/>
      </c>
      <c r="G90" s="64"/>
      <c r="H90" s="64"/>
      <c r="I90" s="64"/>
      <c r="J90" s="211"/>
      <c r="K90" s="212"/>
      <c r="L90" s="212"/>
      <c r="M90" s="211"/>
      <c r="N90" s="211"/>
      <c r="P90" t="str">
        <f t="shared" si="12"/>
        <v/>
      </c>
      <c r="Q90" t="str">
        <f t="shared" si="13"/>
        <v/>
      </c>
      <c r="U90">
        <v>4211</v>
      </c>
      <c r="V90" t="s">
        <v>717</v>
      </c>
      <c r="X90" t="str">
        <f t="shared" si="14"/>
        <v>42</v>
      </c>
      <c r="Y90" t="str">
        <f t="shared" si="15"/>
        <v>421</v>
      </c>
      <c r="AA90" t="s">
        <v>1078</v>
      </c>
      <c r="AB90" t="s">
        <v>1075</v>
      </c>
    </row>
    <row r="91" spans="1:28">
      <c r="A91" s="74"/>
      <c r="B91" s="59" t="str">
        <f t="shared" si="9"/>
        <v/>
      </c>
      <c r="C91" s="74"/>
      <c r="D91" s="59" t="str">
        <f t="shared" si="10"/>
        <v/>
      </c>
      <c r="E91" s="75"/>
      <c r="F91" s="59" t="str">
        <f t="shared" si="11"/>
        <v/>
      </c>
      <c r="G91" s="64"/>
      <c r="H91" s="64"/>
      <c r="I91" s="64"/>
      <c r="J91" s="211"/>
      <c r="K91" s="212"/>
      <c r="L91" s="212"/>
      <c r="M91" s="211"/>
      <c r="N91" s="211"/>
      <c r="P91" t="str">
        <f t="shared" si="12"/>
        <v/>
      </c>
      <c r="Q91" t="str">
        <f t="shared" si="13"/>
        <v/>
      </c>
      <c r="U91">
        <v>4212</v>
      </c>
      <c r="V91" t="s">
        <v>718</v>
      </c>
      <c r="X91" t="str">
        <f t="shared" si="14"/>
        <v>42</v>
      </c>
      <c r="Y91" t="str">
        <f t="shared" si="15"/>
        <v>421</v>
      </c>
      <c r="AA91" t="s">
        <v>1079</v>
      </c>
      <c r="AB91" t="s">
        <v>1080</v>
      </c>
    </row>
    <row r="92" spans="1:28">
      <c r="A92" s="74"/>
      <c r="B92" s="59" t="str">
        <f t="shared" si="9"/>
        <v/>
      </c>
      <c r="C92" s="74"/>
      <c r="D92" s="59" t="str">
        <f t="shared" si="10"/>
        <v/>
      </c>
      <c r="E92" s="75"/>
      <c r="F92" s="59" t="str">
        <f t="shared" si="11"/>
        <v/>
      </c>
      <c r="G92" s="64"/>
      <c r="H92" s="64"/>
      <c r="I92" s="64"/>
      <c r="J92" s="211"/>
      <c r="K92" s="212"/>
      <c r="L92" s="212"/>
      <c r="M92" s="211"/>
      <c r="N92" s="211"/>
      <c r="P92" t="str">
        <f t="shared" si="12"/>
        <v/>
      </c>
      <c r="Q92" t="str">
        <f t="shared" si="13"/>
        <v/>
      </c>
      <c r="U92">
        <v>4213</v>
      </c>
      <c r="V92" t="s">
        <v>719</v>
      </c>
      <c r="X92" t="str">
        <f t="shared" si="14"/>
        <v>42</v>
      </c>
      <c r="Y92" t="str">
        <f t="shared" si="15"/>
        <v>421</v>
      </c>
      <c r="AA92" t="s">
        <v>1081</v>
      </c>
      <c r="AB92" t="s">
        <v>1082</v>
      </c>
    </row>
    <row r="93" spans="1:28">
      <c r="A93" s="74"/>
      <c r="B93" s="59" t="str">
        <f t="shared" si="9"/>
        <v/>
      </c>
      <c r="C93" s="74"/>
      <c r="D93" s="59" t="str">
        <f t="shared" si="10"/>
        <v/>
      </c>
      <c r="E93" s="75"/>
      <c r="F93" s="59" t="str">
        <f t="shared" si="11"/>
        <v/>
      </c>
      <c r="G93" s="64"/>
      <c r="H93" s="64"/>
      <c r="I93" s="64"/>
      <c r="J93" s="211"/>
      <c r="K93" s="212"/>
      <c r="L93" s="212"/>
      <c r="M93" s="211"/>
      <c r="N93" s="211"/>
      <c r="P93" t="str">
        <f t="shared" si="12"/>
        <v/>
      </c>
      <c r="Q93" t="str">
        <f t="shared" si="13"/>
        <v/>
      </c>
      <c r="U93">
        <v>4214</v>
      </c>
      <c r="V93" t="s">
        <v>720</v>
      </c>
      <c r="X93" t="str">
        <f t="shared" si="14"/>
        <v>42</v>
      </c>
      <c r="Y93" t="str">
        <f t="shared" si="15"/>
        <v>421</v>
      </c>
      <c r="AA93" t="s">
        <v>1083</v>
      </c>
      <c r="AB93" t="s">
        <v>1084</v>
      </c>
    </row>
    <row r="94" spans="1:28">
      <c r="A94" s="74"/>
      <c r="B94" s="59" t="str">
        <f t="shared" si="9"/>
        <v/>
      </c>
      <c r="C94" s="74"/>
      <c r="D94" s="59" t="str">
        <f t="shared" si="10"/>
        <v/>
      </c>
      <c r="E94" s="75"/>
      <c r="F94" s="59" t="str">
        <f t="shared" si="11"/>
        <v/>
      </c>
      <c r="G94" s="64"/>
      <c r="H94" s="64"/>
      <c r="I94" s="64"/>
      <c r="J94" s="211"/>
      <c r="K94" s="212"/>
      <c r="L94" s="212"/>
      <c r="M94" s="211"/>
      <c r="N94" s="211"/>
      <c r="P94" t="str">
        <f t="shared" si="12"/>
        <v/>
      </c>
      <c r="Q94" t="str">
        <f t="shared" si="13"/>
        <v/>
      </c>
      <c r="U94">
        <v>4221</v>
      </c>
      <c r="V94" t="s">
        <v>721</v>
      </c>
      <c r="X94" t="str">
        <f t="shared" si="14"/>
        <v>42</v>
      </c>
      <c r="Y94" t="str">
        <f t="shared" si="15"/>
        <v>422</v>
      </c>
      <c r="AA94" t="s">
        <v>1085</v>
      </c>
      <c r="AB94" t="s">
        <v>1086</v>
      </c>
    </row>
    <row r="95" spans="1:28">
      <c r="A95" s="74"/>
      <c r="B95" s="59" t="str">
        <f t="shared" si="9"/>
        <v/>
      </c>
      <c r="C95" s="74"/>
      <c r="D95" s="59" t="str">
        <f t="shared" si="10"/>
        <v/>
      </c>
      <c r="E95" s="75"/>
      <c r="F95" s="59" t="str">
        <f t="shared" si="11"/>
        <v/>
      </c>
      <c r="G95" s="64"/>
      <c r="H95" s="64"/>
      <c r="I95" s="64"/>
      <c r="J95" s="211"/>
      <c r="K95" s="212"/>
      <c r="L95" s="212"/>
      <c r="M95" s="211"/>
      <c r="N95" s="211"/>
      <c r="P95" t="str">
        <f t="shared" si="12"/>
        <v/>
      </c>
      <c r="Q95" t="str">
        <f t="shared" si="13"/>
        <v/>
      </c>
      <c r="U95">
        <v>4222</v>
      </c>
      <c r="V95" t="s">
        <v>722</v>
      </c>
      <c r="X95" t="str">
        <f t="shared" si="14"/>
        <v>42</v>
      </c>
      <c r="Y95" t="str">
        <f t="shared" si="15"/>
        <v>422</v>
      </c>
      <c r="AA95" t="s">
        <v>1087</v>
      </c>
      <c r="AB95" t="s">
        <v>1088</v>
      </c>
    </row>
    <row r="96" spans="1:28">
      <c r="A96" s="74"/>
      <c r="B96" s="59" t="str">
        <f t="shared" si="9"/>
        <v/>
      </c>
      <c r="C96" s="74"/>
      <c r="D96" s="59" t="str">
        <f t="shared" si="10"/>
        <v/>
      </c>
      <c r="E96" s="75"/>
      <c r="F96" s="59" t="str">
        <f t="shared" si="11"/>
        <v/>
      </c>
      <c r="G96" s="64"/>
      <c r="H96" s="64"/>
      <c r="I96" s="64"/>
      <c r="J96" s="211"/>
      <c r="K96" s="212"/>
      <c r="L96" s="212"/>
      <c r="M96" s="211"/>
      <c r="N96" s="211"/>
      <c r="P96" t="str">
        <f t="shared" si="12"/>
        <v/>
      </c>
      <c r="Q96" t="str">
        <f t="shared" si="13"/>
        <v/>
      </c>
      <c r="U96">
        <v>4223</v>
      </c>
      <c r="V96" t="s">
        <v>723</v>
      </c>
      <c r="X96" t="str">
        <f t="shared" si="14"/>
        <v>42</v>
      </c>
      <c r="Y96" t="str">
        <f t="shared" si="15"/>
        <v>422</v>
      </c>
      <c r="AA96" t="s">
        <v>1089</v>
      </c>
      <c r="AB96" t="s">
        <v>1090</v>
      </c>
    </row>
    <row r="97" spans="1:28">
      <c r="A97" s="74"/>
      <c r="B97" s="59" t="str">
        <f t="shared" si="9"/>
        <v/>
      </c>
      <c r="C97" s="74"/>
      <c r="D97" s="59" t="str">
        <f t="shared" si="10"/>
        <v/>
      </c>
      <c r="E97" s="75"/>
      <c r="F97" s="59" t="str">
        <f t="shared" si="11"/>
        <v/>
      </c>
      <c r="G97" s="64"/>
      <c r="H97" s="64"/>
      <c r="I97" s="64"/>
      <c r="J97" s="211"/>
      <c r="K97" s="212"/>
      <c r="L97" s="212"/>
      <c r="M97" s="211"/>
      <c r="N97" s="211"/>
      <c r="P97" t="str">
        <f t="shared" si="12"/>
        <v/>
      </c>
      <c r="Q97" t="str">
        <f t="shared" si="13"/>
        <v/>
      </c>
      <c r="U97">
        <v>4224</v>
      </c>
      <c r="V97" t="s">
        <v>724</v>
      </c>
      <c r="X97" t="str">
        <f t="shared" si="14"/>
        <v>42</v>
      </c>
      <c r="Y97" t="str">
        <f t="shared" si="15"/>
        <v>422</v>
      </c>
      <c r="AA97" t="s">
        <v>1091</v>
      </c>
      <c r="AB97" t="s">
        <v>1092</v>
      </c>
    </row>
    <row r="98" spans="1:28">
      <c r="A98" s="74"/>
      <c r="B98" s="59" t="str">
        <f t="shared" si="9"/>
        <v/>
      </c>
      <c r="C98" s="74"/>
      <c r="D98" s="59" t="str">
        <f t="shared" si="10"/>
        <v/>
      </c>
      <c r="E98" s="75"/>
      <c r="F98" s="59" t="str">
        <f t="shared" si="11"/>
        <v/>
      </c>
      <c r="G98" s="64"/>
      <c r="H98" s="64"/>
      <c r="I98" s="64"/>
      <c r="J98" s="211"/>
      <c r="K98" s="212"/>
      <c r="L98" s="212"/>
      <c r="M98" s="211"/>
      <c r="N98" s="211"/>
      <c r="P98" t="str">
        <f t="shared" si="12"/>
        <v/>
      </c>
      <c r="Q98" t="str">
        <f t="shared" si="13"/>
        <v/>
      </c>
      <c r="U98">
        <v>4225</v>
      </c>
      <c r="V98" t="s">
        <v>725</v>
      </c>
      <c r="X98" t="str">
        <f t="shared" si="14"/>
        <v>42</v>
      </c>
      <c r="Y98" t="str">
        <f t="shared" si="15"/>
        <v>422</v>
      </c>
      <c r="AA98" t="s">
        <v>1093</v>
      </c>
      <c r="AB98" t="s">
        <v>1094</v>
      </c>
    </row>
    <row r="99" spans="1:28">
      <c r="A99" s="74"/>
      <c r="B99" s="59" t="str">
        <f t="shared" si="9"/>
        <v/>
      </c>
      <c r="C99" s="74"/>
      <c r="D99" s="59" t="str">
        <f t="shared" si="10"/>
        <v/>
      </c>
      <c r="E99" s="75"/>
      <c r="F99" s="59" t="str">
        <f t="shared" si="11"/>
        <v/>
      </c>
      <c r="G99" s="64"/>
      <c r="H99" s="64"/>
      <c r="I99" s="64"/>
      <c r="J99" s="211"/>
      <c r="K99" s="212"/>
      <c r="L99" s="212"/>
      <c r="M99" s="211"/>
      <c r="N99" s="211"/>
      <c r="P99" t="str">
        <f t="shared" si="12"/>
        <v/>
      </c>
      <c r="Q99" t="str">
        <f t="shared" si="13"/>
        <v/>
      </c>
      <c r="U99">
        <v>4226</v>
      </c>
      <c r="V99" t="s">
        <v>726</v>
      </c>
      <c r="X99" t="str">
        <f t="shared" si="14"/>
        <v>42</v>
      </c>
      <c r="Y99" t="str">
        <f t="shared" si="15"/>
        <v>422</v>
      </c>
      <c r="AA99" t="s">
        <v>1095</v>
      </c>
      <c r="AB99" t="s">
        <v>1096</v>
      </c>
    </row>
    <row r="100" spans="1:28">
      <c r="A100" s="74"/>
      <c r="B100" s="59" t="str">
        <f t="shared" si="9"/>
        <v/>
      </c>
      <c r="C100" s="74"/>
      <c r="D100" s="59" t="str">
        <f t="shared" si="10"/>
        <v/>
      </c>
      <c r="E100" s="75"/>
      <c r="F100" s="59" t="str">
        <f t="shared" si="11"/>
        <v/>
      </c>
      <c r="G100" s="64"/>
      <c r="H100" s="64"/>
      <c r="I100" s="64"/>
      <c r="J100" s="211"/>
      <c r="K100" s="212"/>
      <c r="L100" s="212"/>
      <c r="M100" s="211"/>
      <c r="N100" s="211"/>
      <c r="P100" t="str">
        <f t="shared" si="12"/>
        <v/>
      </c>
      <c r="Q100" t="str">
        <f t="shared" si="13"/>
        <v/>
      </c>
      <c r="U100">
        <v>4227</v>
      </c>
      <c r="V100" t="s">
        <v>727</v>
      </c>
      <c r="X100" t="str">
        <f t="shared" si="14"/>
        <v>42</v>
      </c>
      <c r="Y100" t="str">
        <f t="shared" si="15"/>
        <v>422</v>
      </c>
      <c r="AA100" t="s">
        <v>1097</v>
      </c>
      <c r="AB100" t="s">
        <v>1098</v>
      </c>
    </row>
    <row r="101" spans="1:28">
      <c r="A101" s="74"/>
      <c r="B101" s="59" t="str">
        <f t="shared" si="9"/>
        <v/>
      </c>
      <c r="C101" s="74"/>
      <c r="D101" s="59" t="str">
        <f t="shared" si="10"/>
        <v/>
      </c>
      <c r="E101" s="75"/>
      <c r="F101" s="59" t="str">
        <f t="shared" si="11"/>
        <v/>
      </c>
      <c r="G101" s="64"/>
      <c r="H101" s="64"/>
      <c r="I101" s="64"/>
      <c r="J101" s="211"/>
      <c r="K101" s="212"/>
      <c r="L101" s="212"/>
      <c r="M101" s="211"/>
      <c r="N101" s="211"/>
      <c r="P101" t="str">
        <f t="shared" si="12"/>
        <v/>
      </c>
      <c r="Q101" t="str">
        <f t="shared" si="13"/>
        <v/>
      </c>
      <c r="U101">
        <v>4231</v>
      </c>
      <c r="V101" t="s">
        <v>728</v>
      </c>
      <c r="X101" t="str">
        <f t="shared" ref="X101:X129" si="16">LEFT(U101,2)</f>
        <v>42</v>
      </c>
      <c r="Y101" t="str">
        <f t="shared" ref="Y101:Y129" si="17">LEFT(U101,3)</f>
        <v>423</v>
      </c>
      <c r="AA101" t="s">
        <v>1099</v>
      </c>
      <c r="AB101" t="s">
        <v>1100</v>
      </c>
    </row>
    <row r="102" spans="1:28">
      <c r="A102" s="74"/>
      <c r="B102" s="59" t="str">
        <f t="shared" si="9"/>
        <v/>
      </c>
      <c r="C102" s="74"/>
      <c r="D102" s="59" t="str">
        <f t="shared" si="10"/>
        <v/>
      </c>
      <c r="E102" s="75"/>
      <c r="F102" s="59" t="str">
        <f t="shared" si="11"/>
        <v/>
      </c>
      <c r="G102" s="64"/>
      <c r="H102" s="64"/>
      <c r="I102" s="64"/>
      <c r="J102" s="211"/>
      <c r="K102" s="212"/>
      <c r="L102" s="212"/>
      <c r="M102" s="211"/>
      <c r="N102" s="211"/>
      <c r="P102" t="str">
        <f t="shared" si="12"/>
        <v/>
      </c>
      <c r="Q102" t="str">
        <f t="shared" si="13"/>
        <v/>
      </c>
      <c r="U102">
        <v>4233</v>
      </c>
      <c r="V102" t="s">
        <v>729</v>
      </c>
      <c r="X102" t="str">
        <f t="shared" si="16"/>
        <v>42</v>
      </c>
      <c r="Y102" t="str">
        <f t="shared" si="17"/>
        <v>423</v>
      </c>
      <c r="AA102" t="s">
        <v>1101</v>
      </c>
      <c r="AB102" t="s">
        <v>1102</v>
      </c>
    </row>
    <row r="103" spans="1:28">
      <c r="A103" s="74"/>
      <c r="B103" s="59" t="str">
        <f t="shared" si="9"/>
        <v/>
      </c>
      <c r="C103" s="74"/>
      <c r="D103" s="59" t="str">
        <f t="shared" si="10"/>
        <v/>
      </c>
      <c r="E103" s="75"/>
      <c r="F103" s="59" t="str">
        <f t="shared" si="11"/>
        <v/>
      </c>
      <c r="G103" s="64"/>
      <c r="H103" s="64"/>
      <c r="I103" s="64"/>
      <c r="J103" s="211"/>
      <c r="K103" s="212"/>
      <c r="L103" s="212"/>
      <c r="M103" s="211"/>
      <c r="N103" s="211"/>
      <c r="P103" t="str">
        <f t="shared" si="12"/>
        <v/>
      </c>
      <c r="Q103" t="str">
        <f t="shared" si="13"/>
        <v/>
      </c>
      <c r="U103">
        <v>4241</v>
      </c>
      <c r="V103" t="s">
        <v>730</v>
      </c>
      <c r="X103" t="str">
        <f t="shared" si="16"/>
        <v>42</v>
      </c>
      <c r="Y103" t="str">
        <f t="shared" si="17"/>
        <v>424</v>
      </c>
      <c r="AA103" t="s">
        <v>1103</v>
      </c>
      <c r="AB103" t="s">
        <v>1104</v>
      </c>
    </row>
    <row r="104" spans="1:28">
      <c r="A104" s="74"/>
      <c r="B104" s="59" t="str">
        <f t="shared" si="9"/>
        <v/>
      </c>
      <c r="C104" s="74"/>
      <c r="D104" s="59" t="str">
        <f t="shared" si="10"/>
        <v/>
      </c>
      <c r="E104" s="75"/>
      <c r="F104" s="59" t="str">
        <f t="shared" si="11"/>
        <v/>
      </c>
      <c r="G104" s="64"/>
      <c r="H104" s="64"/>
      <c r="I104" s="64"/>
      <c r="J104" s="211"/>
      <c r="K104" s="212"/>
      <c r="L104" s="212"/>
      <c r="M104" s="211"/>
      <c r="N104" s="211"/>
      <c r="P104" t="str">
        <f t="shared" si="12"/>
        <v/>
      </c>
      <c r="Q104" t="str">
        <f t="shared" si="13"/>
        <v/>
      </c>
      <c r="U104">
        <v>4242</v>
      </c>
      <c r="V104" t="s">
        <v>731</v>
      </c>
      <c r="X104" t="str">
        <f t="shared" si="16"/>
        <v>42</v>
      </c>
      <c r="Y104" t="str">
        <f t="shared" si="17"/>
        <v>424</v>
      </c>
      <c r="AA104" t="s">
        <v>1105</v>
      </c>
      <c r="AB104" t="s">
        <v>1106</v>
      </c>
    </row>
    <row r="105" spans="1:28">
      <c r="A105" s="74"/>
      <c r="B105" s="59" t="str">
        <f t="shared" si="9"/>
        <v/>
      </c>
      <c r="C105" s="74"/>
      <c r="D105" s="59" t="str">
        <f t="shared" si="10"/>
        <v/>
      </c>
      <c r="E105" s="75"/>
      <c r="F105" s="59" t="str">
        <f t="shared" si="11"/>
        <v/>
      </c>
      <c r="G105" s="64"/>
      <c r="H105" s="64"/>
      <c r="I105" s="64"/>
      <c r="J105" s="211"/>
      <c r="K105" s="212"/>
      <c r="L105" s="212"/>
      <c r="M105" s="211"/>
      <c r="N105" s="211"/>
      <c r="P105" t="str">
        <f t="shared" si="12"/>
        <v/>
      </c>
      <c r="Q105" t="str">
        <f t="shared" si="13"/>
        <v/>
      </c>
      <c r="U105">
        <v>4244</v>
      </c>
      <c r="V105" t="s">
        <v>732</v>
      </c>
      <c r="X105" t="str">
        <f t="shared" si="16"/>
        <v>42</v>
      </c>
      <c r="Y105" t="str">
        <f t="shared" si="17"/>
        <v>424</v>
      </c>
      <c r="AA105" t="s">
        <v>1107</v>
      </c>
      <c r="AB105" t="s">
        <v>1108</v>
      </c>
    </row>
    <row r="106" spans="1:28">
      <c r="A106" s="74"/>
      <c r="B106" s="59" t="str">
        <f t="shared" si="9"/>
        <v/>
      </c>
      <c r="C106" s="74"/>
      <c r="D106" s="59" t="str">
        <f t="shared" si="10"/>
        <v/>
      </c>
      <c r="E106" s="75"/>
      <c r="F106" s="59" t="str">
        <f t="shared" si="11"/>
        <v/>
      </c>
      <c r="G106" s="64"/>
      <c r="H106" s="64"/>
      <c r="I106" s="64"/>
      <c r="J106" s="211"/>
      <c r="K106" s="212"/>
      <c r="L106" s="212"/>
      <c r="M106" s="211"/>
      <c r="N106" s="211"/>
      <c r="P106" t="str">
        <f t="shared" si="12"/>
        <v/>
      </c>
      <c r="Q106" t="str">
        <f t="shared" si="13"/>
        <v/>
      </c>
      <c r="U106">
        <v>4251</v>
      </c>
      <c r="V106" t="s">
        <v>733</v>
      </c>
      <c r="X106" t="str">
        <f t="shared" si="16"/>
        <v>42</v>
      </c>
      <c r="Y106" t="str">
        <f t="shared" si="17"/>
        <v>425</v>
      </c>
      <c r="AA106" t="s">
        <v>1109</v>
      </c>
      <c r="AB106" t="s">
        <v>1110</v>
      </c>
    </row>
    <row r="107" spans="1:28">
      <c r="A107" s="74"/>
      <c r="B107" s="59" t="str">
        <f t="shared" si="9"/>
        <v/>
      </c>
      <c r="C107" s="74"/>
      <c r="D107" s="59" t="str">
        <f t="shared" si="10"/>
        <v/>
      </c>
      <c r="E107" s="75"/>
      <c r="F107" s="59" t="str">
        <f t="shared" si="11"/>
        <v/>
      </c>
      <c r="G107" s="64"/>
      <c r="H107" s="64"/>
      <c r="I107" s="64"/>
      <c r="J107" s="211"/>
      <c r="K107" s="212"/>
      <c r="L107" s="212"/>
      <c r="M107" s="211"/>
      <c r="N107" s="211"/>
      <c r="P107" t="str">
        <f t="shared" si="12"/>
        <v/>
      </c>
      <c r="Q107" t="str">
        <f t="shared" si="13"/>
        <v/>
      </c>
      <c r="U107">
        <v>4252</v>
      </c>
      <c r="V107" t="s">
        <v>734</v>
      </c>
      <c r="X107" t="str">
        <f t="shared" si="16"/>
        <v>42</v>
      </c>
      <c r="Y107" t="str">
        <f t="shared" si="17"/>
        <v>425</v>
      </c>
      <c r="AA107" t="s">
        <v>1111</v>
      </c>
      <c r="AB107" t="s">
        <v>1112</v>
      </c>
    </row>
    <row r="108" spans="1:28">
      <c r="A108" s="74"/>
      <c r="B108" s="59" t="str">
        <f t="shared" si="9"/>
        <v/>
      </c>
      <c r="C108" s="74"/>
      <c r="D108" s="59" t="str">
        <f t="shared" si="10"/>
        <v/>
      </c>
      <c r="E108" s="75"/>
      <c r="F108" s="59" t="str">
        <f t="shared" si="11"/>
        <v/>
      </c>
      <c r="G108" s="64"/>
      <c r="H108" s="64"/>
      <c r="I108" s="64"/>
      <c r="J108" s="211"/>
      <c r="K108" s="212"/>
      <c r="L108" s="212"/>
      <c r="M108" s="211"/>
      <c r="N108" s="211"/>
      <c r="P108" t="str">
        <f t="shared" si="12"/>
        <v/>
      </c>
      <c r="Q108" t="str">
        <f t="shared" si="13"/>
        <v/>
      </c>
      <c r="U108">
        <v>4262</v>
      </c>
      <c r="V108" t="s">
        <v>735</v>
      </c>
      <c r="X108" t="str">
        <f t="shared" si="16"/>
        <v>42</v>
      </c>
      <c r="Y108" t="str">
        <f t="shared" si="17"/>
        <v>426</v>
      </c>
      <c r="AA108" t="s">
        <v>1113</v>
      </c>
      <c r="AB108" t="s">
        <v>1114</v>
      </c>
    </row>
    <row r="109" spans="1:28">
      <c r="A109" s="74"/>
      <c r="B109" s="59" t="str">
        <f t="shared" si="9"/>
        <v/>
      </c>
      <c r="C109" s="74"/>
      <c r="D109" s="59" t="str">
        <f t="shared" si="10"/>
        <v/>
      </c>
      <c r="E109" s="75"/>
      <c r="F109" s="59" t="str">
        <f t="shared" si="11"/>
        <v/>
      </c>
      <c r="G109" s="64"/>
      <c r="H109" s="64"/>
      <c r="I109" s="64"/>
      <c r="J109" s="211"/>
      <c r="K109" s="212"/>
      <c r="L109" s="212"/>
      <c r="M109" s="211"/>
      <c r="N109" s="211"/>
      <c r="P109" t="str">
        <f t="shared" si="12"/>
        <v/>
      </c>
      <c r="Q109" t="str">
        <f t="shared" si="13"/>
        <v/>
      </c>
      <c r="U109">
        <v>4263</v>
      </c>
      <c r="V109" t="s">
        <v>736</v>
      </c>
      <c r="X109" t="str">
        <f t="shared" si="16"/>
        <v>42</v>
      </c>
      <c r="Y109" t="str">
        <f t="shared" si="17"/>
        <v>426</v>
      </c>
      <c r="AA109" t="s">
        <v>1115</v>
      </c>
      <c r="AB109" t="s">
        <v>1116</v>
      </c>
    </row>
    <row r="110" spans="1:28">
      <c r="A110" s="74"/>
      <c r="B110" s="59" t="str">
        <f t="shared" si="9"/>
        <v/>
      </c>
      <c r="C110" s="74"/>
      <c r="D110" s="59" t="str">
        <f t="shared" si="10"/>
        <v/>
      </c>
      <c r="E110" s="75"/>
      <c r="F110" s="59" t="str">
        <f t="shared" si="11"/>
        <v/>
      </c>
      <c r="G110" s="64"/>
      <c r="H110" s="64"/>
      <c r="I110" s="64"/>
      <c r="J110" s="211"/>
      <c r="K110" s="212"/>
      <c r="L110" s="212"/>
      <c r="M110" s="211"/>
      <c r="N110" s="211"/>
      <c r="P110" t="str">
        <f t="shared" si="12"/>
        <v/>
      </c>
      <c r="Q110" t="str">
        <f t="shared" si="13"/>
        <v/>
      </c>
      <c r="U110">
        <v>4264</v>
      </c>
      <c r="V110" t="s">
        <v>737</v>
      </c>
      <c r="X110" t="str">
        <f t="shared" si="16"/>
        <v>42</v>
      </c>
      <c r="Y110" t="str">
        <f t="shared" si="17"/>
        <v>426</v>
      </c>
      <c r="AA110" t="s">
        <v>1117</v>
      </c>
      <c r="AB110" t="s">
        <v>1118</v>
      </c>
    </row>
    <row r="111" spans="1:28">
      <c r="A111" s="74"/>
      <c r="B111" s="59" t="str">
        <f t="shared" si="9"/>
        <v/>
      </c>
      <c r="C111" s="74"/>
      <c r="D111" s="59" t="str">
        <f t="shared" si="10"/>
        <v/>
      </c>
      <c r="E111" s="75"/>
      <c r="F111" s="59" t="str">
        <f t="shared" si="11"/>
        <v/>
      </c>
      <c r="G111" s="64"/>
      <c r="H111" s="64"/>
      <c r="I111" s="64"/>
      <c r="J111" s="211"/>
      <c r="K111" s="212"/>
      <c r="L111" s="212"/>
      <c r="M111" s="211"/>
      <c r="N111" s="211"/>
      <c r="P111" t="str">
        <f t="shared" si="12"/>
        <v/>
      </c>
      <c r="Q111" t="str">
        <f t="shared" si="13"/>
        <v/>
      </c>
      <c r="U111">
        <v>4312</v>
      </c>
      <c r="V111" t="s">
        <v>738</v>
      </c>
      <c r="X111" t="str">
        <f t="shared" si="16"/>
        <v>43</v>
      </c>
      <c r="Y111" t="str">
        <f t="shared" si="17"/>
        <v>431</v>
      </c>
      <c r="AA111" t="s">
        <v>1119</v>
      </c>
      <c r="AB111" t="s">
        <v>1120</v>
      </c>
    </row>
    <row r="112" spans="1:28">
      <c r="A112" s="74"/>
      <c r="B112" s="59" t="str">
        <f t="shared" si="9"/>
        <v/>
      </c>
      <c r="C112" s="74"/>
      <c r="D112" s="59" t="str">
        <f t="shared" si="10"/>
        <v/>
      </c>
      <c r="E112" s="75"/>
      <c r="F112" s="59" t="str">
        <f t="shared" si="11"/>
        <v/>
      </c>
      <c r="G112" s="64"/>
      <c r="H112" s="64"/>
      <c r="I112" s="64"/>
      <c r="J112" s="211"/>
      <c r="K112" s="212"/>
      <c r="L112" s="212"/>
      <c r="M112" s="211"/>
      <c r="N112" s="211"/>
      <c r="P112" t="str">
        <f t="shared" si="12"/>
        <v/>
      </c>
      <c r="Q112" t="str">
        <f t="shared" si="13"/>
        <v/>
      </c>
      <c r="U112">
        <v>4411</v>
      </c>
      <c r="V112" t="s">
        <v>739</v>
      </c>
      <c r="X112" t="str">
        <f t="shared" si="16"/>
        <v>44</v>
      </c>
      <c r="Y112" t="str">
        <f t="shared" si="17"/>
        <v>441</v>
      </c>
      <c r="AA112" t="s">
        <v>1121</v>
      </c>
      <c r="AB112" t="s">
        <v>1122</v>
      </c>
    </row>
    <row r="113" spans="1:28">
      <c r="A113" s="74"/>
      <c r="B113" s="59" t="str">
        <f t="shared" si="9"/>
        <v/>
      </c>
      <c r="C113" s="74"/>
      <c r="D113" s="59" t="str">
        <f t="shared" si="10"/>
        <v/>
      </c>
      <c r="E113" s="75"/>
      <c r="F113" s="59" t="str">
        <f t="shared" si="11"/>
        <v/>
      </c>
      <c r="G113" s="64"/>
      <c r="H113" s="64"/>
      <c r="I113" s="64"/>
      <c r="J113" s="211"/>
      <c r="K113" s="212"/>
      <c r="L113" s="212"/>
      <c r="M113" s="211"/>
      <c r="N113" s="211"/>
      <c r="P113" t="str">
        <f t="shared" si="12"/>
        <v/>
      </c>
      <c r="Q113" t="str">
        <f t="shared" si="13"/>
        <v/>
      </c>
      <c r="U113">
        <v>4511</v>
      </c>
      <c r="V113" t="s">
        <v>740</v>
      </c>
      <c r="X113" t="str">
        <f t="shared" si="16"/>
        <v>45</v>
      </c>
      <c r="Y113" t="str">
        <f t="shared" si="17"/>
        <v>451</v>
      </c>
      <c r="AA113" t="s">
        <v>1123</v>
      </c>
      <c r="AB113" t="s">
        <v>1124</v>
      </c>
    </row>
    <row r="114" spans="1:28">
      <c r="A114" s="74"/>
      <c r="B114" s="59" t="str">
        <f t="shared" si="9"/>
        <v/>
      </c>
      <c r="C114" s="74"/>
      <c r="D114" s="59" t="str">
        <f t="shared" si="10"/>
        <v/>
      </c>
      <c r="E114" s="75"/>
      <c r="F114" s="59" t="str">
        <f t="shared" si="11"/>
        <v/>
      </c>
      <c r="G114" s="64"/>
      <c r="H114" s="64"/>
      <c r="I114" s="64"/>
      <c r="J114" s="211"/>
      <c r="K114" s="212"/>
      <c r="L114" s="212"/>
      <c r="M114" s="211"/>
      <c r="N114" s="211"/>
      <c r="P114" t="str">
        <f t="shared" si="12"/>
        <v/>
      </c>
      <c r="Q114" t="str">
        <f t="shared" si="13"/>
        <v/>
      </c>
      <c r="U114">
        <v>4521</v>
      </c>
      <c r="V114" t="s">
        <v>741</v>
      </c>
      <c r="X114" t="str">
        <f t="shared" si="16"/>
        <v>45</v>
      </c>
      <c r="Y114" t="str">
        <f t="shared" si="17"/>
        <v>452</v>
      </c>
      <c r="AA114" t="s">
        <v>1125</v>
      </c>
      <c r="AB114" t="s">
        <v>1126</v>
      </c>
    </row>
    <row r="115" spans="1:28">
      <c r="A115" s="74"/>
      <c r="B115" s="59" t="str">
        <f t="shared" si="9"/>
        <v/>
      </c>
      <c r="C115" s="74"/>
      <c r="D115" s="59" t="str">
        <f t="shared" si="10"/>
        <v/>
      </c>
      <c r="E115" s="75"/>
      <c r="F115" s="59" t="str">
        <f t="shared" si="11"/>
        <v/>
      </c>
      <c r="G115" s="64"/>
      <c r="H115" s="64"/>
      <c r="I115" s="64"/>
      <c r="J115" s="211"/>
      <c r="K115" s="212"/>
      <c r="L115" s="212"/>
      <c r="M115" s="211"/>
      <c r="N115" s="211"/>
      <c r="P115" t="str">
        <f t="shared" si="12"/>
        <v/>
      </c>
      <c r="Q115" t="str">
        <f t="shared" si="13"/>
        <v/>
      </c>
      <c r="U115">
        <v>4531</v>
      </c>
      <c r="V115" t="s">
        <v>742</v>
      </c>
      <c r="X115" t="str">
        <f t="shared" si="16"/>
        <v>45</v>
      </c>
      <c r="Y115" t="str">
        <f t="shared" si="17"/>
        <v>453</v>
      </c>
      <c r="AA115" t="s">
        <v>1127</v>
      </c>
      <c r="AB115" t="s">
        <v>1128</v>
      </c>
    </row>
    <row r="116" spans="1:28">
      <c r="A116" s="74"/>
      <c r="B116" s="59" t="str">
        <f t="shared" si="9"/>
        <v/>
      </c>
      <c r="C116" s="74"/>
      <c r="D116" s="59" t="str">
        <f t="shared" si="10"/>
        <v/>
      </c>
      <c r="E116" s="75"/>
      <c r="F116" s="59" t="str">
        <f t="shared" si="11"/>
        <v/>
      </c>
      <c r="G116" s="64"/>
      <c r="H116" s="64"/>
      <c r="I116" s="64"/>
      <c r="J116" s="211"/>
      <c r="K116" s="212"/>
      <c r="L116" s="212"/>
      <c r="M116" s="211"/>
      <c r="N116" s="211"/>
      <c r="P116" t="str">
        <f t="shared" si="12"/>
        <v/>
      </c>
      <c r="Q116" t="str">
        <f t="shared" si="13"/>
        <v/>
      </c>
      <c r="U116">
        <v>4541</v>
      </c>
      <c r="V116" t="s">
        <v>743</v>
      </c>
      <c r="X116" t="str">
        <f t="shared" si="16"/>
        <v>45</v>
      </c>
      <c r="Y116" t="str">
        <f t="shared" si="17"/>
        <v>454</v>
      </c>
      <c r="AA116" t="s">
        <v>1129</v>
      </c>
      <c r="AB116" t="s">
        <v>1130</v>
      </c>
    </row>
    <row r="117" spans="1:28">
      <c r="A117" s="74"/>
      <c r="B117" s="59" t="str">
        <f t="shared" si="9"/>
        <v/>
      </c>
      <c r="C117" s="74"/>
      <c r="D117" s="59" t="str">
        <f t="shared" si="10"/>
        <v/>
      </c>
      <c r="E117" s="75"/>
      <c r="F117" s="59" t="str">
        <f t="shared" si="11"/>
        <v/>
      </c>
      <c r="G117" s="64"/>
      <c r="H117" s="64"/>
      <c r="I117" s="64"/>
      <c r="J117" s="211"/>
      <c r="K117" s="212"/>
      <c r="L117" s="212"/>
      <c r="M117" s="211"/>
      <c r="N117" s="211"/>
      <c r="P117" t="str">
        <f t="shared" si="12"/>
        <v/>
      </c>
      <c r="Q117" t="str">
        <f t="shared" si="13"/>
        <v/>
      </c>
      <c r="U117">
        <v>5121</v>
      </c>
      <c r="V117" t="s">
        <v>744</v>
      </c>
      <c r="X117" t="str">
        <f t="shared" si="16"/>
        <v>51</v>
      </c>
      <c r="Y117" t="str">
        <f t="shared" si="17"/>
        <v>512</v>
      </c>
      <c r="AA117" t="s">
        <v>1131</v>
      </c>
      <c r="AB117" t="s">
        <v>1132</v>
      </c>
    </row>
    <row r="118" spans="1:28">
      <c r="A118" s="74"/>
      <c r="B118" s="59" t="str">
        <f t="shared" si="9"/>
        <v/>
      </c>
      <c r="C118" s="74"/>
      <c r="D118" s="59" t="str">
        <f t="shared" si="10"/>
        <v/>
      </c>
      <c r="E118" s="75"/>
      <c r="F118" s="59" t="str">
        <f t="shared" si="11"/>
        <v/>
      </c>
      <c r="G118" s="64"/>
      <c r="H118" s="64"/>
      <c r="I118" s="64"/>
      <c r="J118" s="211"/>
      <c r="K118" s="212"/>
      <c r="L118" s="212"/>
      <c r="M118" s="211"/>
      <c r="N118" s="211"/>
      <c r="P118" t="str">
        <f t="shared" si="12"/>
        <v/>
      </c>
      <c r="Q118" t="str">
        <f t="shared" si="13"/>
        <v/>
      </c>
      <c r="U118">
        <v>5443</v>
      </c>
      <c r="V118" t="s">
        <v>745</v>
      </c>
      <c r="X118" t="str">
        <f t="shared" si="16"/>
        <v>54</v>
      </c>
      <c r="Y118" t="str">
        <f t="shared" si="17"/>
        <v>544</v>
      </c>
      <c r="AA118" t="s">
        <v>1133</v>
      </c>
      <c r="AB118" t="s">
        <v>1134</v>
      </c>
    </row>
    <row r="119" spans="1:28">
      <c r="A119" s="74"/>
      <c r="B119" s="59" t="str">
        <f t="shared" si="9"/>
        <v/>
      </c>
      <c r="C119" s="74"/>
      <c r="D119" s="59" t="str">
        <f t="shared" si="10"/>
        <v/>
      </c>
      <c r="E119" s="75"/>
      <c r="F119" s="59" t="str">
        <f t="shared" si="11"/>
        <v/>
      </c>
      <c r="G119" s="64"/>
      <c r="H119" s="64"/>
      <c r="I119" s="64"/>
      <c r="J119" s="211"/>
      <c r="K119" s="212"/>
      <c r="L119" s="212"/>
      <c r="M119" s="211"/>
      <c r="N119" s="211"/>
      <c r="P119" t="str">
        <f t="shared" si="12"/>
        <v/>
      </c>
      <c r="Q119" t="str">
        <f t="shared" si="13"/>
        <v/>
      </c>
      <c r="U119">
        <v>5121</v>
      </c>
      <c r="V119" t="s">
        <v>746</v>
      </c>
      <c r="X119" t="str">
        <f t="shared" si="16"/>
        <v>51</v>
      </c>
      <c r="Y119" t="str">
        <f t="shared" si="17"/>
        <v>512</v>
      </c>
      <c r="AA119" t="s">
        <v>1135</v>
      </c>
      <c r="AB119" t="s">
        <v>1136</v>
      </c>
    </row>
    <row r="120" spans="1:28">
      <c r="A120" s="74"/>
      <c r="B120" s="59" t="str">
        <f t="shared" si="9"/>
        <v/>
      </c>
      <c r="C120" s="74"/>
      <c r="D120" s="59" t="str">
        <f t="shared" si="10"/>
        <v/>
      </c>
      <c r="E120" s="75"/>
      <c r="F120" s="59" t="str">
        <f t="shared" si="11"/>
        <v/>
      </c>
      <c r="G120" s="64"/>
      <c r="H120" s="64"/>
      <c r="I120" s="64"/>
      <c r="J120" s="211"/>
      <c r="K120" s="212"/>
      <c r="L120" s="212"/>
      <c r="M120" s="211"/>
      <c r="N120" s="211"/>
      <c r="P120" t="str">
        <f t="shared" si="12"/>
        <v/>
      </c>
      <c r="Q120" t="str">
        <f t="shared" si="13"/>
        <v/>
      </c>
      <c r="U120">
        <v>5122</v>
      </c>
      <c r="V120" t="s">
        <v>747</v>
      </c>
      <c r="X120" t="str">
        <f t="shared" si="16"/>
        <v>51</v>
      </c>
      <c r="Y120" t="str">
        <f t="shared" si="17"/>
        <v>512</v>
      </c>
      <c r="AA120" t="s">
        <v>1137</v>
      </c>
      <c r="AB120" t="s">
        <v>1138</v>
      </c>
    </row>
    <row r="121" spans="1:28">
      <c r="A121" s="74"/>
      <c r="B121" s="59" t="str">
        <f t="shared" si="9"/>
        <v/>
      </c>
      <c r="C121" s="74"/>
      <c r="D121" s="59" t="str">
        <f t="shared" si="10"/>
        <v/>
      </c>
      <c r="E121" s="75"/>
      <c r="F121" s="59" t="str">
        <f t="shared" si="11"/>
        <v/>
      </c>
      <c r="G121" s="64"/>
      <c r="H121" s="64"/>
      <c r="I121" s="64"/>
      <c r="J121" s="211"/>
      <c r="K121" s="212"/>
      <c r="L121" s="212"/>
      <c r="M121" s="211"/>
      <c r="N121" s="211"/>
      <c r="P121" t="str">
        <f t="shared" si="12"/>
        <v/>
      </c>
      <c r="Q121" t="str">
        <f t="shared" si="13"/>
        <v/>
      </c>
      <c r="U121">
        <v>5141</v>
      </c>
      <c r="V121" t="s">
        <v>748</v>
      </c>
      <c r="X121" t="str">
        <f t="shared" si="16"/>
        <v>51</v>
      </c>
      <c r="Y121" t="str">
        <f t="shared" si="17"/>
        <v>514</v>
      </c>
      <c r="AA121" t="s">
        <v>1139</v>
      </c>
      <c r="AB121" t="s">
        <v>1140</v>
      </c>
    </row>
    <row r="122" spans="1:28">
      <c r="A122" s="74"/>
      <c r="B122" s="59" t="str">
        <f t="shared" si="9"/>
        <v/>
      </c>
      <c r="C122" s="74"/>
      <c r="D122" s="59" t="str">
        <f t="shared" si="10"/>
        <v/>
      </c>
      <c r="E122" s="75"/>
      <c r="F122" s="59" t="str">
        <f t="shared" si="11"/>
        <v/>
      </c>
      <c r="G122" s="64"/>
      <c r="H122" s="64"/>
      <c r="I122" s="64"/>
      <c r="J122" s="211"/>
      <c r="K122" s="212"/>
      <c r="L122" s="212"/>
      <c r="M122" s="211"/>
      <c r="N122" s="211"/>
      <c r="P122" t="str">
        <f t="shared" si="12"/>
        <v/>
      </c>
      <c r="Q122" t="str">
        <f t="shared" si="13"/>
        <v/>
      </c>
      <c r="U122">
        <v>5181</v>
      </c>
      <c r="V122" t="s">
        <v>749</v>
      </c>
      <c r="X122" t="str">
        <f t="shared" si="16"/>
        <v>51</v>
      </c>
      <c r="Y122" t="str">
        <f t="shared" si="17"/>
        <v>518</v>
      </c>
      <c r="AA122" t="s">
        <v>1141</v>
      </c>
      <c r="AB122" t="s">
        <v>1142</v>
      </c>
    </row>
    <row r="123" spans="1:28">
      <c r="A123" s="74"/>
      <c r="B123" s="59" t="str">
        <f t="shared" si="9"/>
        <v/>
      </c>
      <c r="C123" s="74"/>
      <c r="D123" s="59" t="str">
        <f t="shared" si="10"/>
        <v/>
      </c>
      <c r="E123" s="75"/>
      <c r="F123" s="59" t="str">
        <f t="shared" si="11"/>
        <v/>
      </c>
      <c r="G123" s="64"/>
      <c r="H123" s="64"/>
      <c r="I123" s="64"/>
      <c r="J123" s="211"/>
      <c r="K123" s="212"/>
      <c r="L123" s="212"/>
      <c r="M123" s="211"/>
      <c r="N123" s="211"/>
      <c r="P123" t="str">
        <f t="shared" si="12"/>
        <v/>
      </c>
      <c r="Q123" t="str">
        <f t="shared" si="13"/>
        <v/>
      </c>
      <c r="U123">
        <v>5183</v>
      </c>
      <c r="V123" t="s">
        <v>750</v>
      </c>
      <c r="X123" t="str">
        <f t="shared" si="16"/>
        <v>51</v>
      </c>
      <c r="Y123" t="str">
        <f t="shared" si="17"/>
        <v>518</v>
      </c>
      <c r="AA123" t="s">
        <v>1143</v>
      </c>
      <c r="AB123" t="s">
        <v>1144</v>
      </c>
    </row>
    <row r="124" spans="1:28">
      <c r="A124" s="74"/>
      <c r="B124" s="59" t="str">
        <f t="shared" si="9"/>
        <v/>
      </c>
      <c r="C124" s="74"/>
      <c r="D124" s="59" t="str">
        <f t="shared" si="10"/>
        <v/>
      </c>
      <c r="E124" s="75"/>
      <c r="F124" s="59" t="str">
        <f t="shared" si="11"/>
        <v/>
      </c>
      <c r="G124" s="64"/>
      <c r="H124" s="64"/>
      <c r="I124" s="64"/>
      <c r="J124" s="211"/>
      <c r="K124" s="212"/>
      <c r="L124" s="212"/>
      <c r="M124" s="211"/>
      <c r="N124" s="211"/>
      <c r="P124" t="str">
        <f t="shared" si="12"/>
        <v/>
      </c>
      <c r="Q124" t="str">
        <f t="shared" si="13"/>
        <v/>
      </c>
      <c r="U124">
        <v>5422</v>
      </c>
      <c r="V124" t="s">
        <v>751</v>
      </c>
      <c r="X124" t="str">
        <f t="shared" si="16"/>
        <v>54</v>
      </c>
      <c r="Y124" t="str">
        <f t="shared" si="17"/>
        <v>542</v>
      </c>
      <c r="AA124" t="s">
        <v>1145</v>
      </c>
      <c r="AB124" t="s">
        <v>1146</v>
      </c>
    </row>
    <row r="125" spans="1:28">
      <c r="A125" s="74"/>
      <c r="B125" s="59" t="str">
        <f t="shared" si="9"/>
        <v/>
      </c>
      <c r="C125" s="74"/>
      <c r="D125" s="59" t="str">
        <f t="shared" si="10"/>
        <v/>
      </c>
      <c r="E125" s="75"/>
      <c r="F125" s="59" t="str">
        <f t="shared" si="11"/>
        <v/>
      </c>
      <c r="G125" s="64"/>
      <c r="H125" s="64"/>
      <c r="I125" s="64"/>
      <c r="J125" s="211"/>
      <c r="K125" s="212"/>
      <c r="L125" s="212"/>
      <c r="M125" s="211"/>
      <c r="N125" s="211"/>
      <c r="P125" t="str">
        <f t="shared" si="12"/>
        <v/>
      </c>
      <c r="Q125" t="str">
        <f t="shared" si="13"/>
        <v/>
      </c>
      <c r="U125">
        <v>5431</v>
      </c>
      <c r="V125" t="s">
        <v>752</v>
      </c>
      <c r="X125" t="str">
        <f t="shared" si="16"/>
        <v>54</v>
      </c>
      <c r="Y125" t="str">
        <f t="shared" si="17"/>
        <v>543</v>
      </c>
      <c r="AA125" t="s">
        <v>1147</v>
      </c>
      <c r="AB125" t="s">
        <v>1148</v>
      </c>
    </row>
    <row r="126" spans="1:28">
      <c r="A126" s="74"/>
      <c r="B126" s="59" t="str">
        <f t="shared" si="9"/>
        <v/>
      </c>
      <c r="C126" s="74"/>
      <c r="D126" s="59" t="str">
        <f t="shared" si="10"/>
        <v/>
      </c>
      <c r="E126" s="75"/>
      <c r="F126" s="59" t="str">
        <f t="shared" si="11"/>
        <v/>
      </c>
      <c r="G126" s="64"/>
      <c r="H126" s="64"/>
      <c r="I126" s="64"/>
      <c r="J126" s="211"/>
      <c r="K126" s="212"/>
      <c r="L126" s="212"/>
      <c r="M126" s="211"/>
      <c r="N126" s="211"/>
      <c r="P126" t="str">
        <f t="shared" si="12"/>
        <v/>
      </c>
      <c r="Q126" t="str">
        <f t="shared" si="13"/>
        <v/>
      </c>
      <c r="U126">
        <v>5443</v>
      </c>
      <c r="V126" t="s">
        <v>753</v>
      </c>
      <c r="X126" t="str">
        <f t="shared" si="16"/>
        <v>54</v>
      </c>
      <c r="Y126" t="str">
        <f t="shared" si="17"/>
        <v>544</v>
      </c>
      <c r="AA126" t="s">
        <v>1149</v>
      </c>
      <c r="AB126" t="s">
        <v>1150</v>
      </c>
    </row>
    <row r="127" spans="1:28">
      <c r="A127" s="74"/>
      <c r="B127" s="59" t="str">
        <f t="shared" si="9"/>
        <v/>
      </c>
      <c r="C127" s="74"/>
      <c r="D127" s="59" t="str">
        <f t="shared" si="10"/>
        <v/>
      </c>
      <c r="E127" s="75"/>
      <c r="F127" s="59" t="str">
        <f t="shared" si="11"/>
        <v/>
      </c>
      <c r="G127" s="64"/>
      <c r="H127" s="64"/>
      <c r="I127" s="64"/>
      <c r="J127" s="211"/>
      <c r="K127" s="212"/>
      <c r="L127" s="212"/>
      <c r="M127" s="211"/>
      <c r="N127" s="211"/>
      <c r="P127" t="str">
        <f t="shared" si="12"/>
        <v/>
      </c>
      <c r="Q127" t="str">
        <f t="shared" si="13"/>
        <v/>
      </c>
      <c r="U127">
        <v>5445</v>
      </c>
      <c r="V127" t="s">
        <v>754</v>
      </c>
      <c r="X127" t="str">
        <f t="shared" si="16"/>
        <v>54</v>
      </c>
      <c r="Y127" t="str">
        <f t="shared" si="17"/>
        <v>544</v>
      </c>
      <c r="AA127" t="s">
        <v>1151</v>
      </c>
      <c r="AB127" t="s">
        <v>1152</v>
      </c>
    </row>
    <row r="128" spans="1:28">
      <c r="A128" s="74"/>
      <c r="B128" s="59" t="str">
        <f t="shared" si="9"/>
        <v/>
      </c>
      <c r="C128" s="74"/>
      <c r="D128" s="59" t="str">
        <f t="shared" si="10"/>
        <v/>
      </c>
      <c r="E128" s="75"/>
      <c r="F128" s="59" t="str">
        <f t="shared" si="11"/>
        <v/>
      </c>
      <c r="G128" s="64"/>
      <c r="H128" s="64"/>
      <c r="I128" s="64"/>
      <c r="J128" s="211"/>
      <c r="K128" s="212"/>
      <c r="L128" s="212"/>
      <c r="M128" s="211"/>
      <c r="N128" s="211"/>
      <c r="P128" t="str">
        <f t="shared" si="12"/>
        <v/>
      </c>
      <c r="Q128" t="str">
        <f t="shared" si="13"/>
        <v/>
      </c>
      <c r="U128">
        <v>5453</v>
      </c>
      <c r="V128" t="s">
        <v>755</v>
      </c>
      <c r="X128" t="str">
        <f t="shared" si="16"/>
        <v>54</v>
      </c>
      <c r="Y128" t="str">
        <f t="shared" si="17"/>
        <v>545</v>
      </c>
      <c r="AA128" t="s">
        <v>1153</v>
      </c>
      <c r="AB128" t="s">
        <v>1154</v>
      </c>
    </row>
    <row r="129" spans="1:28">
      <c r="A129" s="74"/>
      <c r="B129" s="59" t="str">
        <f t="shared" si="9"/>
        <v/>
      </c>
      <c r="C129" s="74"/>
      <c r="D129" s="59" t="str">
        <f t="shared" si="10"/>
        <v/>
      </c>
      <c r="E129" s="75"/>
      <c r="F129" s="59" t="str">
        <f t="shared" si="11"/>
        <v/>
      </c>
      <c r="G129" s="64"/>
      <c r="H129" s="64"/>
      <c r="I129" s="64"/>
      <c r="J129" s="211"/>
      <c r="K129" s="212"/>
      <c r="L129" s="212"/>
      <c r="M129" s="211"/>
      <c r="N129" s="211"/>
      <c r="P129" t="str">
        <f t="shared" si="12"/>
        <v/>
      </c>
      <c r="Q129" t="str">
        <f t="shared" si="13"/>
        <v/>
      </c>
      <c r="U129">
        <v>5472</v>
      </c>
      <c r="V129" t="s">
        <v>756</v>
      </c>
      <c r="X129" t="str">
        <f t="shared" si="16"/>
        <v>54</v>
      </c>
      <c r="Y129" t="str">
        <f t="shared" si="17"/>
        <v>547</v>
      </c>
      <c r="AA129" t="s">
        <v>1155</v>
      </c>
      <c r="AB129" t="s">
        <v>1156</v>
      </c>
    </row>
    <row r="130" spans="1:28">
      <c r="A130" s="74"/>
      <c r="B130" s="59" t="str">
        <f t="shared" si="9"/>
        <v/>
      </c>
      <c r="C130" s="74"/>
      <c r="D130" s="59" t="str">
        <f t="shared" si="10"/>
        <v/>
      </c>
      <c r="E130" s="75"/>
      <c r="F130" s="59" t="str">
        <f t="shared" si="11"/>
        <v/>
      </c>
      <c r="G130" s="64"/>
      <c r="H130" s="64"/>
      <c r="I130" s="64"/>
      <c r="J130" s="211"/>
      <c r="K130" s="212"/>
      <c r="L130" s="212"/>
      <c r="M130" s="211"/>
      <c r="N130" s="211"/>
      <c r="P130" t="str">
        <f t="shared" si="12"/>
        <v/>
      </c>
      <c r="Q130" t="str">
        <f t="shared" si="13"/>
        <v/>
      </c>
      <c r="AA130" t="s">
        <v>1157</v>
      </c>
      <c r="AB130" t="s">
        <v>1158</v>
      </c>
    </row>
    <row r="131" spans="1:28">
      <c r="A131" s="74"/>
      <c r="B131" s="59" t="str">
        <f t="shared" ref="B131:B194" si="18">IFERROR(VLOOKUP(A131,$R$6:$S$16,2,0),"")</f>
        <v/>
      </c>
      <c r="C131" s="74"/>
      <c r="D131" s="59" t="str">
        <f t="shared" ref="D131:D194" si="19">IFERROR(VLOOKUP(C131,$U$5:$W$129,2,0),"")</f>
        <v/>
      </c>
      <c r="E131" s="75"/>
      <c r="F131" s="59" t="str">
        <f t="shared" ref="F131:F194" si="20">IFERROR(VLOOKUP(E131,$AA$6:$AB$200,2,0),"")</f>
        <v/>
      </c>
      <c r="G131" s="64"/>
      <c r="H131" s="64"/>
      <c r="I131" s="64"/>
      <c r="J131" s="211"/>
      <c r="K131" s="212"/>
      <c r="L131" s="212"/>
      <c r="M131" s="211"/>
      <c r="N131" s="211"/>
      <c r="P131" t="str">
        <f t="shared" ref="P131:P194" si="21">LEFT(C131,3)</f>
        <v/>
      </c>
      <c r="Q131" t="str">
        <f t="shared" ref="Q131:Q194" si="22">LEFT(C131,2)</f>
        <v/>
      </c>
      <c r="AA131" t="s">
        <v>1159</v>
      </c>
      <c r="AB131" t="s">
        <v>1160</v>
      </c>
    </row>
    <row r="132" spans="1:28">
      <c r="A132" s="74"/>
      <c r="B132" s="59" t="str">
        <f t="shared" si="18"/>
        <v/>
      </c>
      <c r="C132" s="74"/>
      <c r="D132" s="59" t="str">
        <f t="shared" si="19"/>
        <v/>
      </c>
      <c r="E132" s="75"/>
      <c r="F132" s="59" t="str">
        <f t="shared" si="20"/>
        <v/>
      </c>
      <c r="G132" s="64"/>
      <c r="H132" s="64"/>
      <c r="I132" s="64"/>
      <c r="J132" s="211"/>
      <c r="K132" s="212"/>
      <c r="L132" s="212"/>
      <c r="M132" s="211"/>
      <c r="N132" s="211"/>
      <c r="P132" t="str">
        <f t="shared" si="21"/>
        <v/>
      </c>
      <c r="Q132" t="str">
        <f t="shared" si="22"/>
        <v/>
      </c>
      <c r="AA132" t="s">
        <v>1161</v>
      </c>
      <c r="AB132" t="s">
        <v>1162</v>
      </c>
    </row>
    <row r="133" spans="1:28">
      <c r="A133" s="74"/>
      <c r="B133" s="59" t="str">
        <f t="shared" si="18"/>
        <v/>
      </c>
      <c r="C133" s="74"/>
      <c r="D133" s="59" t="str">
        <f t="shared" si="19"/>
        <v/>
      </c>
      <c r="E133" s="75"/>
      <c r="F133" s="59" t="str">
        <f t="shared" si="20"/>
        <v/>
      </c>
      <c r="G133" s="64"/>
      <c r="H133" s="64"/>
      <c r="I133" s="64"/>
      <c r="J133" s="211"/>
      <c r="K133" s="212"/>
      <c r="L133" s="212"/>
      <c r="M133" s="211"/>
      <c r="N133" s="211"/>
      <c r="P133" t="str">
        <f t="shared" si="21"/>
        <v/>
      </c>
      <c r="Q133" t="str">
        <f t="shared" si="22"/>
        <v/>
      </c>
      <c r="AA133" t="s">
        <v>1163</v>
      </c>
      <c r="AB133" t="s">
        <v>1164</v>
      </c>
    </row>
    <row r="134" spans="1:28">
      <c r="A134" s="74"/>
      <c r="B134" s="59" t="str">
        <f t="shared" si="18"/>
        <v/>
      </c>
      <c r="C134" s="74"/>
      <c r="D134" s="59" t="str">
        <f t="shared" si="19"/>
        <v/>
      </c>
      <c r="E134" s="75"/>
      <c r="F134" s="59" t="str">
        <f t="shared" si="20"/>
        <v/>
      </c>
      <c r="G134" s="64"/>
      <c r="H134" s="64"/>
      <c r="I134" s="64"/>
      <c r="J134" s="211"/>
      <c r="K134" s="212"/>
      <c r="L134" s="212"/>
      <c r="M134" s="211"/>
      <c r="N134" s="211"/>
      <c r="P134" t="str">
        <f t="shared" si="21"/>
        <v/>
      </c>
      <c r="Q134" t="str">
        <f t="shared" si="22"/>
        <v/>
      </c>
      <c r="AA134" t="s">
        <v>1165</v>
      </c>
      <c r="AB134" t="s">
        <v>1166</v>
      </c>
    </row>
    <row r="135" spans="1:28">
      <c r="A135" s="74"/>
      <c r="B135" s="59" t="str">
        <f t="shared" si="18"/>
        <v/>
      </c>
      <c r="C135" s="74"/>
      <c r="D135" s="59" t="str">
        <f t="shared" si="19"/>
        <v/>
      </c>
      <c r="E135" s="75"/>
      <c r="F135" s="59" t="str">
        <f t="shared" si="20"/>
        <v/>
      </c>
      <c r="G135" s="64"/>
      <c r="H135" s="64"/>
      <c r="I135" s="64"/>
      <c r="J135" s="211"/>
      <c r="K135" s="212"/>
      <c r="L135" s="212"/>
      <c r="M135" s="211"/>
      <c r="N135" s="211"/>
      <c r="P135" t="str">
        <f t="shared" si="21"/>
        <v/>
      </c>
      <c r="Q135" t="str">
        <f t="shared" si="22"/>
        <v/>
      </c>
      <c r="AA135" t="s">
        <v>1167</v>
      </c>
      <c r="AB135" t="s">
        <v>1168</v>
      </c>
    </row>
    <row r="136" spans="1:28">
      <c r="A136" s="74"/>
      <c r="B136" s="59" t="str">
        <f t="shared" si="18"/>
        <v/>
      </c>
      <c r="C136" s="74"/>
      <c r="D136" s="59" t="str">
        <f t="shared" si="19"/>
        <v/>
      </c>
      <c r="E136" s="75"/>
      <c r="F136" s="59" t="str">
        <f t="shared" si="20"/>
        <v/>
      </c>
      <c r="G136" s="64"/>
      <c r="H136" s="64"/>
      <c r="I136" s="64"/>
      <c r="J136" s="211"/>
      <c r="K136" s="212"/>
      <c r="L136" s="212"/>
      <c r="M136" s="211"/>
      <c r="N136" s="211"/>
      <c r="P136" t="str">
        <f t="shared" si="21"/>
        <v/>
      </c>
      <c r="Q136" t="str">
        <f t="shared" si="22"/>
        <v/>
      </c>
      <c r="AA136" t="s">
        <v>1169</v>
      </c>
      <c r="AB136" t="s">
        <v>1170</v>
      </c>
    </row>
    <row r="137" spans="1:28">
      <c r="A137" s="74"/>
      <c r="B137" s="59" t="str">
        <f t="shared" si="18"/>
        <v/>
      </c>
      <c r="C137" s="74"/>
      <c r="D137" s="59" t="str">
        <f t="shared" si="19"/>
        <v/>
      </c>
      <c r="E137" s="75"/>
      <c r="F137" s="59" t="str">
        <f t="shared" si="20"/>
        <v/>
      </c>
      <c r="G137" s="64"/>
      <c r="H137" s="64"/>
      <c r="I137" s="64"/>
      <c r="J137" s="211"/>
      <c r="K137" s="212"/>
      <c r="L137" s="212"/>
      <c r="M137" s="211"/>
      <c r="N137" s="211"/>
      <c r="P137" t="str">
        <f t="shared" si="21"/>
        <v/>
      </c>
      <c r="Q137" t="str">
        <f t="shared" si="22"/>
        <v/>
      </c>
      <c r="AA137" t="s">
        <v>1171</v>
      </c>
      <c r="AB137" t="s">
        <v>1172</v>
      </c>
    </row>
    <row r="138" spans="1:28">
      <c r="A138" s="74"/>
      <c r="B138" s="59" t="str">
        <f t="shared" si="18"/>
        <v/>
      </c>
      <c r="C138" s="74"/>
      <c r="D138" s="59" t="str">
        <f t="shared" si="19"/>
        <v/>
      </c>
      <c r="E138" s="75"/>
      <c r="F138" s="59" t="str">
        <f t="shared" si="20"/>
        <v/>
      </c>
      <c r="G138" s="64"/>
      <c r="H138" s="64"/>
      <c r="I138" s="64"/>
      <c r="J138" s="211"/>
      <c r="K138" s="212"/>
      <c r="L138" s="212"/>
      <c r="M138" s="211"/>
      <c r="N138" s="211"/>
      <c r="P138" t="str">
        <f t="shared" si="21"/>
        <v/>
      </c>
      <c r="Q138" t="str">
        <f t="shared" si="22"/>
        <v/>
      </c>
      <c r="AA138" t="s">
        <v>1173</v>
      </c>
      <c r="AB138" t="s">
        <v>1174</v>
      </c>
    </row>
    <row r="139" spans="1:28">
      <c r="A139" s="74"/>
      <c r="B139" s="59" t="str">
        <f t="shared" si="18"/>
        <v/>
      </c>
      <c r="C139" s="74"/>
      <c r="D139" s="59" t="str">
        <f t="shared" si="19"/>
        <v/>
      </c>
      <c r="E139" s="75"/>
      <c r="F139" s="59" t="str">
        <f t="shared" si="20"/>
        <v/>
      </c>
      <c r="G139" s="64"/>
      <c r="H139" s="64"/>
      <c r="I139" s="64"/>
      <c r="J139" s="211"/>
      <c r="K139" s="212"/>
      <c r="L139" s="212"/>
      <c r="M139" s="211"/>
      <c r="N139" s="211"/>
      <c r="P139" t="str">
        <f t="shared" si="21"/>
        <v/>
      </c>
      <c r="Q139" t="str">
        <f t="shared" si="22"/>
        <v/>
      </c>
      <c r="AA139" t="s">
        <v>1175</v>
      </c>
      <c r="AB139" t="s">
        <v>1176</v>
      </c>
    </row>
    <row r="140" spans="1:28">
      <c r="A140" s="74"/>
      <c r="B140" s="59" t="str">
        <f t="shared" si="18"/>
        <v/>
      </c>
      <c r="C140" s="74"/>
      <c r="D140" s="59" t="str">
        <f t="shared" si="19"/>
        <v/>
      </c>
      <c r="E140" s="75"/>
      <c r="F140" s="59" t="str">
        <f t="shared" si="20"/>
        <v/>
      </c>
      <c r="G140" s="64"/>
      <c r="H140" s="64"/>
      <c r="I140" s="64"/>
      <c r="J140" s="211"/>
      <c r="K140" s="212"/>
      <c r="L140" s="212"/>
      <c r="M140" s="211"/>
      <c r="N140" s="211"/>
      <c r="P140" t="str">
        <f t="shared" si="21"/>
        <v/>
      </c>
      <c r="Q140" t="str">
        <f t="shared" si="22"/>
        <v/>
      </c>
      <c r="AA140" t="s">
        <v>1177</v>
      </c>
      <c r="AB140" t="s">
        <v>1178</v>
      </c>
    </row>
    <row r="141" spans="1:28">
      <c r="A141" s="74"/>
      <c r="B141" s="59" t="str">
        <f t="shared" si="18"/>
        <v/>
      </c>
      <c r="C141" s="74"/>
      <c r="D141" s="59" t="str">
        <f t="shared" si="19"/>
        <v/>
      </c>
      <c r="E141" s="75"/>
      <c r="F141" s="59" t="str">
        <f t="shared" si="20"/>
        <v/>
      </c>
      <c r="G141" s="64"/>
      <c r="H141" s="64"/>
      <c r="I141" s="64"/>
      <c r="J141" s="211"/>
      <c r="K141" s="212"/>
      <c r="L141" s="212"/>
      <c r="M141" s="211"/>
      <c r="N141" s="211"/>
      <c r="P141" t="str">
        <f t="shared" si="21"/>
        <v/>
      </c>
      <c r="Q141" t="str">
        <f t="shared" si="22"/>
        <v/>
      </c>
      <c r="AA141" t="s">
        <v>1179</v>
      </c>
      <c r="AB141" t="s">
        <v>1180</v>
      </c>
    </row>
    <row r="142" spans="1:28">
      <c r="A142" s="74"/>
      <c r="B142" s="59" t="str">
        <f t="shared" si="18"/>
        <v/>
      </c>
      <c r="C142" s="74"/>
      <c r="D142" s="59" t="str">
        <f t="shared" si="19"/>
        <v/>
      </c>
      <c r="E142" s="75"/>
      <c r="F142" s="59" t="str">
        <f t="shared" si="20"/>
        <v/>
      </c>
      <c r="G142" s="64"/>
      <c r="H142" s="64"/>
      <c r="I142" s="64"/>
      <c r="J142" s="211"/>
      <c r="K142" s="212"/>
      <c r="L142" s="212"/>
      <c r="M142" s="211"/>
      <c r="N142" s="211"/>
      <c r="P142" t="str">
        <f t="shared" si="21"/>
        <v/>
      </c>
      <c r="Q142" t="str">
        <f t="shared" si="22"/>
        <v/>
      </c>
      <c r="AA142" t="s">
        <v>1181</v>
      </c>
      <c r="AB142" t="s">
        <v>1182</v>
      </c>
    </row>
    <row r="143" spans="1:28">
      <c r="A143" s="74"/>
      <c r="B143" s="59" t="str">
        <f t="shared" si="18"/>
        <v/>
      </c>
      <c r="C143" s="74"/>
      <c r="D143" s="59" t="str">
        <f t="shared" si="19"/>
        <v/>
      </c>
      <c r="E143" s="75"/>
      <c r="F143" s="59" t="str">
        <f t="shared" si="20"/>
        <v/>
      </c>
      <c r="G143" s="64"/>
      <c r="H143" s="64"/>
      <c r="I143" s="64"/>
      <c r="J143" s="211"/>
      <c r="K143" s="212"/>
      <c r="L143" s="212"/>
      <c r="M143" s="211"/>
      <c r="N143" s="211"/>
      <c r="P143" t="str">
        <f t="shared" si="21"/>
        <v/>
      </c>
      <c r="Q143" t="str">
        <f t="shared" si="22"/>
        <v/>
      </c>
      <c r="AA143" t="s">
        <v>1183</v>
      </c>
      <c r="AB143" t="s">
        <v>1184</v>
      </c>
    </row>
    <row r="144" spans="1:28">
      <c r="A144" s="74"/>
      <c r="B144" s="59" t="str">
        <f t="shared" si="18"/>
        <v/>
      </c>
      <c r="C144" s="74"/>
      <c r="D144" s="59" t="str">
        <f t="shared" si="19"/>
        <v/>
      </c>
      <c r="E144" s="75"/>
      <c r="F144" s="59" t="str">
        <f t="shared" si="20"/>
        <v/>
      </c>
      <c r="G144" s="64"/>
      <c r="H144" s="64"/>
      <c r="I144" s="64"/>
      <c r="J144" s="211"/>
      <c r="K144" s="212"/>
      <c r="L144" s="212"/>
      <c r="M144" s="211"/>
      <c r="N144" s="211"/>
      <c r="P144" t="str">
        <f t="shared" si="21"/>
        <v/>
      </c>
      <c r="Q144" t="str">
        <f t="shared" si="22"/>
        <v/>
      </c>
      <c r="AA144" t="s">
        <v>1185</v>
      </c>
      <c r="AB144" t="s">
        <v>1186</v>
      </c>
    </row>
    <row r="145" spans="1:28">
      <c r="A145" s="74"/>
      <c r="B145" s="59" t="str">
        <f t="shared" si="18"/>
        <v/>
      </c>
      <c r="C145" s="74"/>
      <c r="D145" s="59" t="str">
        <f t="shared" si="19"/>
        <v/>
      </c>
      <c r="E145" s="75"/>
      <c r="F145" s="59" t="str">
        <f t="shared" si="20"/>
        <v/>
      </c>
      <c r="G145" s="64"/>
      <c r="H145" s="64"/>
      <c r="I145" s="64"/>
      <c r="J145" s="211"/>
      <c r="K145" s="212"/>
      <c r="L145" s="212"/>
      <c r="M145" s="211"/>
      <c r="N145" s="211"/>
      <c r="P145" t="str">
        <f t="shared" si="21"/>
        <v/>
      </c>
      <c r="Q145" t="str">
        <f t="shared" si="22"/>
        <v/>
      </c>
      <c r="AA145" t="s">
        <v>1187</v>
      </c>
      <c r="AB145" t="s">
        <v>1188</v>
      </c>
    </row>
    <row r="146" spans="1:28">
      <c r="A146" s="74"/>
      <c r="B146" s="59" t="str">
        <f t="shared" si="18"/>
        <v/>
      </c>
      <c r="C146" s="74"/>
      <c r="D146" s="59" t="str">
        <f t="shared" si="19"/>
        <v/>
      </c>
      <c r="E146" s="75"/>
      <c r="F146" s="59" t="str">
        <f t="shared" si="20"/>
        <v/>
      </c>
      <c r="G146" s="64"/>
      <c r="H146" s="64"/>
      <c r="I146" s="64"/>
      <c r="J146" s="211"/>
      <c r="K146" s="212"/>
      <c r="L146" s="212"/>
      <c r="M146" s="211"/>
      <c r="N146" s="211"/>
      <c r="P146" t="str">
        <f t="shared" si="21"/>
        <v/>
      </c>
      <c r="Q146" t="str">
        <f t="shared" si="22"/>
        <v/>
      </c>
      <c r="AA146" t="s">
        <v>1189</v>
      </c>
      <c r="AB146" t="s">
        <v>1190</v>
      </c>
    </row>
    <row r="147" spans="1:28">
      <c r="A147" s="74"/>
      <c r="B147" s="59" t="str">
        <f t="shared" si="18"/>
        <v/>
      </c>
      <c r="C147" s="74"/>
      <c r="D147" s="59" t="str">
        <f t="shared" si="19"/>
        <v/>
      </c>
      <c r="E147" s="75"/>
      <c r="F147" s="59" t="str">
        <f t="shared" si="20"/>
        <v/>
      </c>
      <c r="G147" s="64"/>
      <c r="H147" s="64"/>
      <c r="I147" s="64"/>
      <c r="J147" s="211"/>
      <c r="K147" s="212"/>
      <c r="L147" s="212"/>
      <c r="M147" s="211"/>
      <c r="N147" s="211"/>
      <c r="P147" t="str">
        <f t="shared" si="21"/>
        <v/>
      </c>
      <c r="Q147" t="str">
        <f t="shared" si="22"/>
        <v/>
      </c>
      <c r="AA147" t="s">
        <v>1191</v>
      </c>
      <c r="AB147" t="s">
        <v>1192</v>
      </c>
    </row>
    <row r="148" spans="1:28">
      <c r="A148" s="74"/>
      <c r="B148" s="59" t="str">
        <f t="shared" si="18"/>
        <v/>
      </c>
      <c r="C148" s="74"/>
      <c r="D148" s="59" t="str">
        <f t="shared" si="19"/>
        <v/>
      </c>
      <c r="E148" s="75"/>
      <c r="F148" s="59" t="str">
        <f t="shared" si="20"/>
        <v/>
      </c>
      <c r="G148" s="64"/>
      <c r="H148" s="64"/>
      <c r="I148" s="64"/>
      <c r="J148" s="211"/>
      <c r="K148" s="212"/>
      <c r="L148" s="212"/>
      <c r="M148" s="211"/>
      <c r="N148" s="211"/>
      <c r="P148" t="str">
        <f t="shared" si="21"/>
        <v/>
      </c>
      <c r="Q148" t="str">
        <f t="shared" si="22"/>
        <v/>
      </c>
      <c r="AA148" t="s">
        <v>1193</v>
      </c>
      <c r="AB148" t="s">
        <v>1194</v>
      </c>
    </row>
    <row r="149" spans="1:28">
      <c r="A149" s="74"/>
      <c r="B149" s="59" t="str">
        <f t="shared" si="18"/>
        <v/>
      </c>
      <c r="C149" s="74"/>
      <c r="D149" s="59" t="str">
        <f t="shared" si="19"/>
        <v/>
      </c>
      <c r="E149" s="75"/>
      <c r="F149" s="59" t="str">
        <f t="shared" si="20"/>
        <v/>
      </c>
      <c r="G149" s="64"/>
      <c r="H149" s="64"/>
      <c r="I149" s="64"/>
      <c r="J149" s="211"/>
      <c r="K149" s="212"/>
      <c r="L149" s="212"/>
      <c r="M149" s="211"/>
      <c r="N149" s="211"/>
      <c r="P149" t="str">
        <f t="shared" si="21"/>
        <v/>
      </c>
      <c r="Q149" t="str">
        <f t="shared" si="22"/>
        <v/>
      </c>
      <c r="AA149" t="s">
        <v>1195</v>
      </c>
      <c r="AB149" t="s">
        <v>1196</v>
      </c>
    </row>
    <row r="150" spans="1:28">
      <c r="A150" s="74"/>
      <c r="B150" s="59" t="str">
        <f t="shared" si="18"/>
        <v/>
      </c>
      <c r="C150" s="74"/>
      <c r="D150" s="59" t="str">
        <f t="shared" si="19"/>
        <v/>
      </c>
      <c r="E150" s="75"/>
      <c r="F150" s="59" t="str">
        <f t="shared" si="20"/>
        <v/>
      </c>
      <c r="G150" s="64"/>
      <c r="H150" s="64"/>
      <c r="I150" s="64"/>
      <c r="J150" s="211"/>
      <c r="K150" s="212"/>
      <c r="L150" s="212"/>
      <c r="M150" s="211"/>
      <c r="N150" s="211"/>
      <c r="P150" t="str">
        <f t="shared" si="21"/>
        <v/>
      </c>
      <c r="Q150" t="str">
        <f t="shared" si="22"/>
        <v/>
      </c>
      <c r="AA150" t="s">
        <v>1197</v>
      </c>
      <c r="AB150" t="s">
        <v>1198</v>
      </c>
    </row>
    <row r="151" spans="1:28">
      <c r="A151" s="74"/>
      <c r="B151" s="59" t="str">
        <f t="shared" si="18"/>
        <v/>
      </c>
      <c r="C151" s="74"/>
      <c r="D151" s="59" t="str">
        <f t="shared" si="19"/>
        <v/>
      </c>
      <c r="E151" s="75"/>
      <c r="F151" s="59" t="str">
        <f t="shared" si="20"/>
        <v/>
      </c>
      <c r="G151" s="64"/>
      <c r="H151" s="64"/>
      <c r="I151" s="64"/>
      <c r="J151" s="211"/>
      <c r="K151" s="212"/>
      <c r="L151" s="212"/>
      <c r="M151" s="211"/>
      <c r="N151" s="211"/>
      <c r="P151" t="str">
        <f t="shared" si="21"/>
        <v/>
      </c>
      <c r="Q151" t="str">
        <f t="shared" si="22"/>
        <v/>
      </c>
      <c r="AA151" t="s">
        <v>1199</v>
      </c>
      <c r="AB151" t="s">
        <v>1200</v>
      </c>
    </row>
    <row r="152" spans="1:28">
      <c r="A152" s="74"/>
      <c r="B152" s="59" t="str">
        <f t="shared" si="18"/>
        <v/>
      </c>
      <c r="C152" s="74"/>
      <c r="D152" s="59" t="str">
        <f t="shared" si="19"/>
        <v/>
      </c>
      <c r="E152" s="75"/>
      <c r="F152" s="59" t="str">
        <f t="shared" si="20"/>
        <v/>
      </c>
      <c r="G152" s="64"/>
      <c r="H152" s="64"/>
      <c r="I152" s="64"/>
      <c r="J152" s="211"/>
      <c r="K152" s="212"/>
      <c r="L152" s="212"/>
      <c r="M152" s="211"/>
      <c r="N152" s="211"/>
      <c r="P152" t="str">
        <f t="shared" si="21"/>
        <v/>
      </c>
      <c r="Q152" t="str">
        <f t="shared" si="22"/>
        <v/>
      </c>
      <c r="AA152" t="s">
        <v>1201</v>
      </c>
      <c r="AB152" t="s">
        <v>1202</v>
      </c>
    </row>
    <row r="153" spans="1:28">
      <c r="A153" s="74"/>
      <c r="B153" s="59" t="str">
        <f t="shared" si="18"/>
        <v/>
      </c>
      <c r="C153" s="74"/>
      <c r="D153" s="59" t="str">
        <f t="shared" si="19"/>
        <v/>
      </c>
      <c r="E153" s="75"/>
      <c r="F153" s="59" t="str">
        <f t="shared" si="20"/>
        <v/>
      </c>
      <c r="G153" s="64"/>
      <c r="H153" s="64"/>
      <c r="I153" s="64"/>
      <c r="J153" s="211"/>
      <c r="K153" s="212"/>
      <c r="L153" s="212"/>
      <c r="M153" s="211"/>
      <c r="N153" s="211"/>
      <c r="P153" t="str">
        <f t="shared" si="21"/>
        <v/>
      </c>
      <c r="Q153" t="str">
        <f t="shared" si="22"/>
        <v/>
      </c>
      <c r="AA153" t="s">
        <v>1203</v>
      </c>
      <c r="AB153" t="s">
        <v>1204</v>
      </c>
    </row>
    <row r="154" spans="1:28">
      <c r="A154" s="74"/>
      <c r="B154" s="59" t="str">
        <f t="shared" si="18"/>
        <v/>
      </c>
      <c r="C154" s="74"/>
      <c r="D154" s="59" t="str">
        <f t="shared" si="19"/>
        <v/>
      </c>
      <c r="E154" s="75"/>
      <c r="F154" s="59" t="str">
        <f t="shared" si="20"/>
        <v/>
      </c>
      <c r="G154" s="64"/>
      <c r="H154" s="64"/>
      <c r="I154" s="64"/>
      <c r="J154" s="211"/>
      <c r="K154" s="212"/>
      <c r="L154" s="212"/>
      <c r="M154" s="211"/>
      <c r="N154" s="211"/>
      <c r="P154" t="str">
        <f t="shared" si="21"/>
        <v/>
      </c>
      <c r="Q154" t="str">
        <f t="shared" si="22"/>
        <v/>
      </c>
      <c r="AA154" t="s">
        <v>1205</v>
      </c>
      <c r="AB154" t="s">
        <v>1206</v>
      </c>
    </row>
    <row r="155" spans="1:28">
      <c r="A155" s="74"/>
      <c r="B155" s="59" t="str">
        <f t="shared" si="18"/>
        <v/>
      </c>
      <c r="C155" s="74"/>
      <c r="D155" s="59" t="str">
        <f t="shared" si="19"/>
        <v/>
      </c>
      <c r="E155" s="75"/>
      <c r="F155" s="59" t="str">
        <f t="shared" si="20"/>
        <v/>
      </c>
      <c r="G155" s="64"/>
      <c r="H155" s="64"/>
      <c r="I155" s="64"/>
      <c r="J155" s="211"/>
      <c r="K155" s="212"/>
      <c r="L155" s="212"/>
      <c r="M155" s="211"/>
      <c r="N155" s="211"/>
      <c r="P155" t="str">
        <f t="shared" si="21"/>
        <v/>
      </c>
      <c r="Q155" t="str">
        <f t="shared" si="22"/>
        <v/>
      </c>
      <c r="AA155" t="s">
        <v>1207</v>
      </c>
      <c r="AB155" t="s">
        <v>1208</v>
      </c>
    </row>
    <row r="156" spans="1:28">
      <c r="A156" s="74"/>
      <c r="B156" s="59" t="str">
        <f t="shared" si="18"/>
        <v/>
      </c>
      <c r="C156" s="74"/>
      <c r="D156" s="59" t="str">
        <f t="shared" si="19"/>
        <v/>
      </c>
      <c r="E156" s="75"/>
      <c r="F156" s="59" t="str">
        <f t="shared" si="20"/>
        <v/>
      </c>
      <c r="G156" s="64"/>
      <c r="H156" s="64"/>
      <c r="I156" s="64"/>
      <c r="J156" s="211"/>
      <c r="K156" s="212"/>
      <c r="L156" s="212"/>
      <c r="M156" s="211"/>
      <c r="N156" s="211"/>
      <c r="P156" t="str">
        <f t="shared" si="21"/>
        <v/>
      </c>
      <c r="Q156" t="str">
        <f t="shared" si="22"/>
        <v/>
      </c>
      <c r="AA156" t="s">
        <v>1209</v>
      </c>
      <c r="AB156" t="s">
        <v>1210</v>
      </c>
    </row>
    <row r="157" spans="1:28">
      <c r="A157" s="74"/>
      <c r="B157" s="59" t="str">
        <f t="shared" si="18"/>
        <v/>
      </c>
      <c r="C157" s="74"/>
      <c r="D157" s="59" t="str">
        <f t="shared" si="19"/>
        <v/>
      </c>
      <c r="E157" s="75"/>
      <c r="F157" s="59" t="str">
        <f t="shared" si="20"/>
        <v/>
      </c>
      <c r="G157" s="64"/>
      <c r="H157" s="64"/>
      <c r="I157" s="64"/>
      <c r="J157" s="211"/>
      <c r="K157" s="212"/>
      <c r="L157" s="212"/>
      <c r="M157" s="211"/>
      <c r="N157" s="211"/>
      <c r="P157" t="str">
        <f t="shared" si="21"/>
        <v/>
      </c>
      <c r="Q157" t="str">
        <f t="shared" si="22"/>
        <v/>
      </c>
      <c r="AA157" t="s">
        <v>1211</v>
      </c>
      <c r="AB157" t="s">
        <v>1212</v>
      </c>
    </row>
    <row r="158" spans="1:28">
      <c r="A158" s="74"/>
      <c r="B158" s="59" t="str">
        <f t="shared" si="18"/>
        <v/>
      </c>
      <c r="C158" s="74"/>
      <c r="D158" s="59" t="str">
        <f t="shared" si="19"/>
        <v/>
      </c>
      <c r="E158" s="75"/>
      <c r="F158" s="59" t="str">
        <f t="shared" si="20"/>
        <v/>
      </c>
      <c r="G158" s="64"/>
      <c r="H158" s="64"/>
      <c r="I158" s="64"/>
      <c r="J158" s="211"/>
      <c r="K158" s="212"/>
      <c r="L158" s="212"/>
      <c r="M158" s="211"/>
      <c r="N158" s="211"/>
      <c r="P158" t="str">
        <f t="shared" si="21"/>
        <v/>
      </c>
      <c r="Q158" t="str">
        <f t="shared" si="22"/>
        <v/>
      </c>
      <c r="AA158" t="s">
        <v>1213</v>
      </c>
      <c r="AB158" t="s">
        <v>1214</v>
      </c>
    </row>
    <row r="159" spans="1:28">
      <c r="A159" s="74"/>
      <c r="B159" s="59" t="str">
        <f t="shared" si="18"/>
        <v/>
      </c>
      <c r="C159" s="74"/>
      <c r="D159" s="59" t="str">
        <f t="shared" si="19"/>
        <v/>
      </c>
      <c r="E159" s="75"/>
      <c r="F159" s="59" t="str">
        <f t="shared" si="20"/>
        <v/>
      </c>
      <c r="G159" s="64"/>
      <c r="H159" s="64"/>
      <c r="I159" s="64"/>
      <c r="J159" s="211"/>
      <c r="K159" s="212"/>
      <c r="L159" s="212"/>
      <c r="M159" s="211"/>
      <c r="N159" s="211"/>
      <c r="P159" t="str">
        <f t="shared" si="21"/>
        <v/>
      </c>
      <c r="Q159" t="str">
        <f t="shared" si="22"/>
        <v/>
      </c>
      <c r="AA159" t="s">
        <v>1215</v>
      </c>
      <c r="AB159" t="s">
        <v>1216</v>
      </c>
    </row>
    <row r="160" spans="1:28">
      <c r="A160" s="74"/>
      <c r="B160" s="59" t="str">
        <f t="shared" si="18"/>
        <v/>
      </c>
      <c r="C160" s="74"/>
      <c r="D160" s="59" t="str">
        <f t="shared" si="19"/>
        <v/>
      </c>
      <c r="E160" s="75"/>
      <c r="F160" s="59" t="str">
        <f t="shared" si="20"/>
        <v/>
      </c>
      <c r="G160" s="64"/>
      <c r="H160" s="64"/>
      <c r="I160" s="64"/>
      <c r="J160" s="211"/>
      <c r="K160" s="212"/>
      <c r="L160" s="212"/>
      <c r="M160" s="211"/>
      <c r="N160" s="211"/>
      <c r="P160" t="str">
        <f t="shared" si="21"/>
        <v/>
      </c>
      <c r="Q160" t="str">
        <f t="shared" si="22"/>
        <v/>
      </c>
      <c r="AA160" t="s">
        <v>1217</v>
      </c>
      <c r="AB160" t="s">
        <v>1218</v>
      </c>
    </row>
    <row r="161" spans="1:28">
      <c r="A161" s="74"/>
      <c r="B161" s="59" t="str">
        <f t="shared" si="18"/>
        <v/>
      </c>
      <c r="C161" s="74"/>
      <c r="D161" s="59" t="str">
        <f t="shared" si="19"/>
        <v/>
      </c>
      <c r="E161" s="75"/>
      <c r="F161" s="59" t="str">
        <f t="shared" si="20"/>
        <v/>
      </c>
      <c r="G161" s="64"/>
      <c r="H161" s="64"/>
      <c r="I161" s="64"/>
      <c r="J161" s="211"/>
      <c r="K161" s="212"/>
      <c r="L161" s="212"/>
      <c r="M161" s="211"/>
      <c r="N161" s="211"/>
      <c r="P161" t="str">
        <f t="shared" si="21"/>
        <v/>
      </c>
      <c r="Q161" t="str">
        <f t="shared" si="22"/>
        <v/>
      </c>
      <c r="AA161" t="s">
        <v>1219</v>
      </c>
      <c r="AB161" t="s">
        <v>1220</v>
      </c>
    </row>
    <row r="162" spans="1:28">
      <c r="A162" s="74"/>
      <c r="B162" s="59" t="str">
        <f t="shared" si="18"/>
        <v/>
      </c>
      <c r="C162" s="74"/>
      <c r="D162" s="59" t="str">
        <f t="shared" si="19"/>
        <v/>
      </c>
      <c r="E162" s="75"/>
      <c r="F162" s="59" t="str">
        <f t="shared" si="20"/>
        <v/>
      </c>
      <c r="G162" s="64"/>
      <c r="H162" s="64"/>
      <c r="I162" s="64"/>
      <c r="J162" s="211"/>
      <c r="K162" s="212"/>
      <c r="L162" s="212"/>
      <c r="M162" s="211"/>
      <c r="N162" s="211"/>
      <c r="P162" t="str">
        <f t="shared" si="21"/>
        <v/>
      </c>
      <c r="Q162" t="str">
        <f t="shared" si="22"/>
        <v/>
      </c>
      <c r="AA162" t="s">
        <v>1221</v>
      </c>
      <c r="AB162" t="s">
        <v>1222</v>
      </c>
    </row>
    <row r="163" spans="1:28">
      <c r="A163" s="74"/>
      <c r="B163" s="59" t="str">
        <f t="shared" si="18"/>
        <v/>
      </c>
      <c r="C163" s="74"/>
      <c r="D163" s="59" t="str">
        <f t="shared" si="19"/>
        <v/>
      </c>
      <c r="E163" s="75"/>
      <c r="F163" s="59" t="str">
        <f t="shared" si="20"/>
        <v/>
      </c>
      <c r="G163" s="64"/>
      <c r="H163" s="64"/>
      <c r="I163" s="64"/>
      <c r="J163" s="211"/>
      <c r="K163" s="212"/>
      <c r="L163" s="212"/>
      <c r="M163" s="211"/>
      <c r="N163" s="211"/>
      <c r="P163" t="str">
        <f t="shared" si="21"/>
        <v/>
      </c>
      <c r="Q163" t="str">
        <f t="shared" si="22"/>
        <v/>
      </c>
      <c r="AA163" t="s">
        <v>1223</v>
      </c>
      <c r="AB163" t="s">
        <v>1224</v>
      </c>
    </row>
    <row r="164" spans="1:28">
      <c r="A164" s="74"/>
      <c r="B164" s="59" t="str">
        <f t="shared" si="18"/>
        <v/>
      </c>
      <c r="C164" s="74"/>
      <c r="D164" s="59" t="str">
        <f t="shared" si="19"/>
        <v/>
      </c>
      <c r="E164" s="75"/>
      <c r="F164" s="59" t="str">
        <f t="shared" si="20"/>
        <v/>
      </c>
      <c r="G164" s="64"/>
      <c r="H164" s="64"/>
      <c r="I164" s="64"/>
      <c r="J164" s="211"/>
      <c r="K164" s="212"/>
      <c r="L164" s="212"/>
      <c r="M164" s="211"/>
      <c r="N164" s="211"/>
      <c r="P164" t="str">
        <f t="shared" si="21"/>
        <v/>
      </c>
      <c r="Q164" t="str">
        <f t="shared" si="22"/>
        <v/>
      </c>
      <c r="AA164" t="s">
        <v>1225</v>
      </c>
      <c r="AB164" t="s">
        <v>1226</v>
      </c>
    </row>
    <row r="165" spans="1:28">
      <c r="A165" s="74"/>
      <c r="B165" s="59" t="str">
        <f t="shared" si="18"/>
        <v/>
      </c>
      <c r="C165" s="74"/>
      <c r="D165" s="59" t="str">
        <f t="shared" si="19"/>
        <v/>
      </c>
      <c r="E165" s="75"/>
      <c r="F165" s="59" t="str">
        <f t="shared" si="20"/>
        <v/>
      </c>
      <c r="G165" s="64"/>
      <c r="H165" s="64"/>
      <c r="I165" s="64"/>
      <c r="J165" s="211"/>
      <c r="K165" s="212"/>
      <c r="L165" s="212"/>
      <c r="M165" s="211"/>
      <c r="N165" s="211"/>
      <c r="P165" t="str">
        <f t="shared" si="21"/>
        <v/>
      </c>
      <c r="Q165" t="str">
        <f t="shared" si="22"/>
        <v/>
      </c>
      <c r="AA165" t="s">
        <v>1227</v>
      </c>
      <c r="AB165" t="s">
        <v>1228</v>
      </c>
    </row>
    <row r="166" spans="1:28">
      <c r="A166" s="74"/>
      <c r="B166" s="59" t="str">
        <f t="shared" si="18"/>
        <v/>
      </c>
      <c r="C166" s="74"/>
      <c r="D166" s="59" t="str">
        <f t="shared" si="19"/>
        <v/>
      </c>
      <c r="E166" s="75"/>
      <c r="F166" s="59" t="str">
        <f t="shared" si="20"/>
        <v/>
      </c>
      <c r="G166" s="64"/>
      <c r="H166" s="64"/>
      <c r="I166" s="64"/>
      <c r="J166" s="211"/>
      <c r="K166" s="212"/>
      <c r="L166" s="212"/>
      <c r="M166" s="211"/>
      <c r="N166" s="211"/>
      <c r="P166" t="str">
        <f t="shared" si="21"/>
        <v/>
      </c>
      <c r="Q166" t="str">
        <f t="shared" si="22"/>
        <v/>
      </c>
      <c r="AA166" t="s">
        <v>1229</v>
      </c>
      <c r="AB166" t="s">
        <v>1230</v>
      </c>
    </row>
    <row r="167" spans="1:28">
      <c r="A167" s="74"/>
      <c r="B167" s="59" t="str">
        <f t="shared" si="18"/>
        <v/>
      </c>
      <c r="C167" s="74"/>
      <c r="D167" s="59" t="str">
        <f t="shared" si="19"/>
        <v/>
      </c>
      <c r="E167" s="75"/>
      <c r="F167" s="59" t="str">
        <f t="shared" si="20"/>
        <v/>
      </c>
      <c r="G167" s="64"/>
      <c r="H167" s="64"/>
      <c r="I167" s="64"/>
      <c r="J167" s="211"/>
      <c r="K167" s="212"/>
      <c r="L167" s="212"/>
      <c r="M167" s="211"/>
      <c r="N167" s="211"/>
      <c r="P167" t="str">
        <f t="shared" si="21"/>
        <v/>
      </c>
      <c r="Q167" t="str">
        <f t="shared" si="22"/>
        <v/>
      </c>
      <c r="AA167" t="s">
        <v>1231</v>
      </c>
      <c r="AB167" t="s">
        <v>1232</v>
      </c>
    </row>
    <row r="168" spans="1:28">
      <c r="A168" s="74"/>
      <c r="B168" s="59" t="str">
        <f t="shared" si="18"/>
        <v/>
      </c>
      <c r="C168" s="74"/>
      <c r="D168" s="59" t="str">
        <f t="shared" si="19"/>
        <v/>
      </c>
      <c r="E168" s="75"/>
      <c r="F168" s="59" t="str">
        <f t="shared" si="20"/>
        <v/>
      </c>
      <c r="G168" s="64"/>
      <c r="H168" s="64"/>
      <c r="I168" s="64"/>
      <c r="J168" s="211"/>
      <c r="K168" s="212"/>
      <c r="L168" s="212"/>
      <c r="M168" s="211"/>
      <c r="N168" s="211"/>
      <c r="P168" t="str">
        <f t="shared" si="21"/>
        <v/>
      </c>
      <c r="Q168" t="str">
        <f t="shared" si="22"/>
        <v/>
      </c>
      <c r="AA168" t="s">
        <v>1233</v>
      </c>
      <c r="AB168" t="s">
        <v>1234</v>
      </c>
    </row>
    <row r="169" spans="1:28">
      <c r="A169" s="74"/>
      <c r="B169" s="59" t="str">
        <f t="shared" si="18"/>
        <v/>
      </c>
      <c r="C169" s="74"/>
      <c r="D169" s="59" t="str">
        <f t="shared" si="19"/>
        <v/>
      </c>
      <c r="E169" s="75"/>
      <c r="F169" s="59" t="str">
        <f t="shared" si="20"/>
        <v/>
      </c>
      <c r="G169" s="64"/>
      <c r="H169" s="64"/>
      <c r="I169" s="64"/>
      <c r="J169" s="211"/>
      <c r="K169" s="212"/>
      <c r="L169" s="212"/>
      <c r="M169" s="211"/>
      <c r="N169" s="211"/>
      <c r="P169" t="str">
        <f t="shared" si="21"/>
        <v/>
      </c>
      <c r="Q169" t="str">
        <f t="shared" si="22"/>
        <v/>
      </c>
      <c r="AA169" t="s">
        <v>1235</v>
      </c>
      <c r="AB169" t="s">
        <v>1236</v>
      </c>
    </row>
    <row r="170" spans="1:28">
      <c r="A170" s="74"/>
      <c r="B170" s="59" t="str">
        <f t="shared" si="18"/>
        <v/>
      </c>
      <c r="C170" s="74"/>
      <c r="D170" s="59" t="str">
        <f t="shared" si="19"/>
        <v/>
      </c>
      <c r="E170" s="75"/>
      <c r="F170" s="59" t="str">
        <f t="shared" si="20"/>
        <v/>
      </c>
      <c r="G170" s="64"/>
      <c r="H170" s="64"/>
      <c r="I170" s="64"/>
      <c r="J170" s="211"/>
      <c r="K170" s="212"/>
      <c r="L170" s="212"/>
      <c r="M170" s="211"/>
      <c r="N170" s="211"/>
      <c r="P170" t="str">
        <f t="shared" si="21"/>
        <v/>
      </c>
      <c r="Q170" t="str">
        <f t="shared" si="22"/>
        <v/>
      </c>
      <c r="AA170" t="s">
        <v>1237</v>
      </c>
      <c r="AB170" t="s">
        <v>1238</v>
      </c>
    </row>
    <row r="171" spans="1:28">
      <c r="A171" s="74"/>
      <c r="B171" s="59" t="str">
        <f t="shared" si="18"/>
        <v/>
      </c>
      <c r="C171" s="74"/>
      <c r="D171" s="59" t="str">
        <f t="shared" si="19"/>
        <v/>
      </c>
      <c r="E171" s="75"/>
      <c r="F171" s="59" t="str">
        <f t="shared" si="20"/>
        <v/>
      </c>
      <c r="G171" s="64"/>
      <c r="H171" s="64"/>
      <c r="I171" s="64"/>
      <c r="J171" s="211"/>
      <c r="K171" s="212"/>
      <c r="L171" s="212"/>
      <c r="M171" s="211"/>
      <c r="N171" s="211"/>
      <c r="P171" t="str">
        <f t="shared" si="21"/>
        <v/>
      </c>
      <c r="Q171" t="str">
        <f t="shared" si="22"/>
        <v/>
      </c>
      <c r="AA171" t="s">
        <v>1239</v>
      </c>
      <c r="AB171" t="s">
        <v>1240</v>
      </c>
    </row>
    <row r="172" spans="1:28">
      <c r="A172" s="74"/>
      <c r="B172" s="59" t="str">
        <f t="shared" si="18"/>
        <v/>
      </c>
      <c r="C172" s="74"/>
      <c r="D172" s="59" t="str">
        <f t="shared" si="19"/>
        <v/>
      </c>
      <c r="E172" s="75"/>
      <c r="F172" s="59" t="str">
        <f t="shared" si="20"/>
        <v/>
      </c>
      <c r="G172" s="64"/>
      <c r="H172" s="64"/>
      <c r="I172" s="64"/>
      <c r="J172" s="211"/>
      <c r="K172" s="212"/>
      <c r="L172" s="212"/>
      <c r="M172" s="211"/>
      <c r="N172" s="211"/>
      <c r="P172" t="str">
        <f t="shared" si="21"/>
        <v/>
      </c>
      <c r="Q172" t="str">
        <f t="shared" si="22"/>
        <v/>
      </c>
      <c r="AA172" t="s">
        <v>1241</v>
      </c>
      <c r="AB172" t="s">
        <v>1242</v>
      </c>
    </row>
    <row r="173" spans="1:28">
      <c r="A173" s="74"/>
      <c r="B173" s="59" t="str">
        <f t="shared" si="18"/>
        <v/>
      </c>
      <c r="C173" s="74"/>
      <c r="D173" s="59" t="str">
        <f t="shared" si="19"/>
        <v/>
      </c>
      <c r="E173" s="75"/>
      <c r="F173" s="59" t="str">
        <f t="shared" si="20"/>
        <v/>
      </c>
      <c r="G173" s="64"/>
      <c r="H173" s="64"/>
      <c r="I173" s="64"/>
      <c r="J173" s="211"/>
      <c r="K173" s="212"/>
      <c r="L173" s="212"/>
      <c r="M173" s="211"/>
      <c r="N173" s="211"/>
      <c r="P173" t="str">
        <f t="shared" si="21"/>
        <v/>
      </c>
      <c r="Q173" t="str">
        <f t="shared" si="22"/>
        <v/>
      </c>
      <c r="AA173" t="s">
        <v>1243</v>
      </c>
      <c r="AB173" t="s">
        <v>1244</v>
      </c>
    </row>
    <row r="174" spans="1:28">
      <c r="A174" s="74"/>
      <c r="B174" s="59" t="str">
        <f t="shared" si="18"/>
        <v/>
      </c>
      <c r="C174" s="74"/>
      <c r="D174" s="59" t="str">
        <f t="shared" si="19"/>
        <v/>
      </c>
      <c r="E174" s="75"/>
      <c r="F174" s="59" t="str">
        <f t="shared" si="20"/>
        <v/>
      </c>
      <c r="G174" s="64"/>
      <c r="H174" s="64"/>
      <c r="I174" s="64"/>
      <c r="J174" s="211"/>
      <c r="K174" s="212"/>
      <c r="L174" s="212"/>
      <c r="M174" s="211"/>
      <c r="N174" s="211"/>
      <c r="P174" t="str">
        <f t="shared" si="21"/>
        <v/>
      </c>
      <c r="Q174" t="str">
        <f t="shared" si="22"/>
        <v/>
      </c>
      <c r="AA174" t="s">
        <v>1245</v>
      </c>
      <c r="AB174" t="s">
        <v>1246</v>
      </c>
    </row>
    <row r="175" spans="1:28">
      <c r="A175" s="74"/>
      <c r="B175" s="59" t="str">
        <f t="shared" si="18"/>
        <v/>
      </c>
      <c r="C175" s="74"/>
      <c r="D175" s="59" t="str">
        <f t="shared" si="19"/>
        <v/>
      </c>
      <c r="E175" s="75"/>
      <c r="F175" s="59" t="str">
        <f t="shared" si="20"/>
        <v/>
      </c>
      <c r="G175" s="64"/>
      <c r="H175" s="64"/>
      <c r="I175" s="64"/>
      <c r="J175" s="211"/>
      <c r="K175" s="212"/>
      <c r="L175" s="212"/>
      <c r="M175" s="211"/>
      <c r="N175" s="211"/>
      <c r="P175" t="str">
        <f t="shared" si="21"/>
        <v/>
      </c>
      <c r="Q175" t="str">
        <f t="shared" si="22"/>
        <v/>
      </c>
      <c r="AA175" t="s">
        <v>1247</v>
      </c>
      <c r="AB175" t="s">
        <v>1248</v>
      </c>
    </row>
    <row r="176" spans="1:28">
      <c r="A176" s="74"/>
      <c r="B176" s="59" t="str">
        <f t="shared" si="18"/>
        <v/>
      </c>
      <c r="C176" s="74"/>
      <c r="D176" s="59" t="str">
        <f t="shared" si="19"/>
        <v/>
      </c>
      <c r="E176" s="75"/>
      <c r="F176" s="59" t="str">
        <f t="shared" si="20"/>
        <v/>
      </c>
      <c r="G176" s="64"/>
      <c r="H176" s="64"/>
      <c r="I176" s="64"/>
      <c r="J176" s="211"/>
      <c r="K176" s="212"/>
      <c r="L176" s="212"/>
      <c r="M176" s="211"/>
      <c r="N176" s="211"/>
      <c r="P176" t="str">
        <f t="shared" si="21"/>
        <v/>
      </c>
      <c r="Q176" t="str">
        <f t="shared" si="22"/>
        <v/>
      </c>
      <c r="AA176" t="s">
        <v>1249</v>
      </c>
      <c r="AB176" t="s">
        <v>1250</v>
      </c>
    </row>
    <row r="177" spans="1:28">
      <c r="A177" s="74"/>
      <c r="B177" s="59" t="str">
        <f t="shared" si="18"/>
        <v/>
      </c>
      <c r="C177" s="74"/>
      <c r="D177" s="59" t="str">
        <f t="shared" si="19"/>
        <v/>
      </c>
      <c r="E177" s="75"/>
      <c r="F177" s="59" t="str">
        <f t="shared" si="20"/>
        <v/>
      </c>
      <c r="G177" s="64"/>
      <c r="H177" s="64"/>
      <c r="I177" s="64"/>
      <c r="J177" s="211"/>
      <c r="K177" s="212"/>
      <c r="L177" s="212"/>
      <c r="M177" s="211"/>
      <c r="N177" s="211"/>
      <c r="P177" t="str">
        <f t="shared" si="21"/>
        <v/>
      </c>
      <c r="Q177" t="str">
        <f t="shared" si="22"/>
        <v/>
      </c>
      <c r="AA177" t="s">
        <v>1251</v>
      </c>
      <c r="AB177" t="s">
        <v>1252</v>
      </c>
    </row>
    <row r="178" spans="1:28">
      <c r="A178" s="74"/>
      <c r="B178" s="59" t="str">
        <f t="shared" si="18"/>
        <v/>
      </c>
      <c r="C178" s="74"/>
      <c r="D178" s="59" t="str">
        <f t="shared" si="19"/>
        <v/>
      </c>
      <c r="E178" s="75"/>
      <c r="F178" s="59" t="str">
        <f t="shared" si="20"/>
        <v/>
      </c>
      <c r="G178" s="64"/>
      <c r="H178" s="64"/>
      <c r="I178" s="64"/>
      <c r="J178" s="211"/>
      <c r="K178" s="212"/>
      <c r="L178" s="212"/>
      <c r="M178" s="211"/>
      <c r="N178" s="211"/>
      <c r="P178" t="str">
        <f t="shared" si="21"/>
        <v/>
      </c>
      <c r="Q178" t="str">
        <f t="shared" si="22"/>
        <v/>
      </c>
      <c r="AA178" t="s">
        <v>1253</v>
      </c>
      <c r="AB178" t="s">
        <v>1254</v>
      </c>
    </row>
    <row r="179" spans="1:28">
      <c r="A179" s="74"/>
      <c r="B179" s="59" t="str">
        <f t="shared" si="18"/>
        <v/>
      </c>
      <c r="C179" s="74"/>
      <c r="D179" s="59" t="str">
        <f t="shared" si="19"/>
        <v/>
      </c>
      <c r="E179" s="75"/>
      <c r="F179" s="59" t="str">
        <f t="shared" si="20"/>
        <v/>
      </c>
      <c r="G179" s="64"/>
      <c r="H179" s="64"/>
      <c r="I179" s="64"/>
      <c r="J179" s="211"/>
      <c r="K179" s="212"/>
      <c r="L179" s="212"/>
      <c r="M179" s="211"/>
      <c r="N179" s="211"/>
      <c r="P179" t="str">
        <f t="shared" si="21"/>
        <v/>
      </c>
      <c r="Q179" t="str">
        <f t="shared" si="22"/>
        <v/>
      </c>
      <c r="AA179" t="s">
        <v>1255</v>
      </c>
      <c r="AB179" t="s">
        <v>1256</v>
      </c>
    </row>
    <row r="180" spans="1:28">
      <c r="A180" s="74"/>
      <c r="B180" s="59" t="str">
        <f t="shared" si="18"/>
        <v/>
      </c>
      <c r="C180" s="74"/>
      <c r="D180" s="59" t="str">
        <f t="shared" si="19"/>
        <v/>
      </c>
      <c r="E180" s="75"/>
      <c r="F180" s="59" t="str">
        <f t="shared" si="20"/>
        <v/>
      </c>
      <c r="G180" s="64"/>
      <c r="H180" s="64"/>
      <c r="I180" s="64"/>
      <c r="J180" s="211"/>
      <c r="K180" s="212"/>
      <c r="L180" s="212"/>
      <c r="M180" s="211"/>
      <c r="N180" s="211"/>
      <c r="P180" t="str">
        <f t="shared" si="21"/>
        <v/>
      </c>
      <c r="Q180" t="str">
        <f t="shared" si="22"/>
        <v/>
      </c>
      <c r="AA180" t="s">
        <v>1257</v>
      </c>
      <c r="AB180" t="s">
        <v>1258</v>
      </c>
    </row>
    <row r="181" spans="1:28">
      <c r="A181" s="74"/>
      <c r="B181" s="59" t="str">
        <f t="shared" si="18"/>
        <v/>
      </c>
      <c r="C181" s="74"/>
      <c r="D181" s="59" t="str">
        <f t="shared" si="19"/>
        <v/>
      </c>
      <c r="E181" s="75"/>
      <c r="F181" s="59" t="str">
        <f t="shared" si="20"/>
        <v/>
      </c>
      <c r="G181" s="64"/>
      <c r="H181" s="64"/>
      <c r="I181" s="64"/>
      <c r="J181" s="211"/>
      <c r="K181" s="212"/>
      <c r="L181" s="212"/>
      <c r="M181" s="211"/>
      <c r="N181" s="211"/>
      <c r="P181" t="str">
        <f t="shared" si="21"/>
        <v/>
      </c>
      <c r="Q181" t="str">
        <f t="shared" si="22"/>
        <v/>
      </c>
      <c r="AA181" t="s">
        <v>1259</v>
      </c>
      <c r="AB181" t="s">
        <v>1260</v>
      </c>
    </row>
    <row r="182" spans="1:28">
      <c r="A182" s="74"/>
      <c r="B182" s="59" t="str">
        <f t="shared" si="18"/>
        <v/>
      </c>
      <c r="C182" s="74"/>
      <c r="D182" s="59" t="str">
        <f t="shared" si="19"/>
        <v/>
      </c>
      <c r="E182" s="75"/>
      <c r="F182" s="59" t="str">
        <f t="shared" si="20"/>
        <v/>
      </c>
      <c r="G182" s="64"/>
      <c r="H182" s="64"/>
      <c r="I182" s="64"/>
      <c r="J182" s="211"/>
      <c r="K182" s="212"/>
      <c r="L182" s="212"/>
      <c r="M182" s="211"/>
      <c r="N182" s="211"/>
      <c r="P182" t="str">
        <f t="shared" si="21"/>
        <v/>
      </c>
      <c r="Q182" t="str">
        <f t="shared" si="22"/>
        <v/>
      </c>
      <c r="AA182" t="s">
        <v>1261</v>
      </c>
      <c r="AB182" t="s">
        <v>1262</v>
      </c>
    </row>
    <row r="183" spans="1:28">
      <c r="A183" s="74"/>
      <c r="B183" s="59" t="str">
        <f t="shared" si="18"/>
        <v/>
      </c>
      <c r="C183" s="74"/>
      <c r="D183" s="59" t="str">
        <f t="shared" si="19"/>
        <v/>
      </c>
      <c r="E183" s="75"/>
      <c r="F183" s="59" t="str">
        <f t="shared" si="20"/>
        <v/>
      </c>
      <c r="G183" s="64"/>
      <c r="H183" s="64"/>
      <c r="I183" s="64"/>
      <c r="J183" s="211"/>
      <c r="K183" s="212"/>
      <c r="L183" s="212"/>
      <c r="M183" s="211"/>
      <c r="N183" s="211"/>
      <c r="P183" t="str">
        <f t="shared" si="21"/>
        <v/>
      </c>
      <c r="Q183" t="str">
        <f t="shared" si="22"/>
        <v/>
      </c>
      <c r="AA183" t="s">
        <v>1263</v>
      </c>
      <c r="AB183" t="s">
        <v>1264</v>
      </c>
    </row>
    <row r="184" spans="1:28">
      <c r="A184" s="74"/>
      <c r="B184" s="59" t="str">
        <f t="shared" si="18"/>
        <v/>
      </c>
      <c r="C184" s="74"/>
      <c r="D184" s="59" t="str">
        <f t="shared" si="19"/>
        <v/>
      </c>
      <c r="E184" s="75"/>
      <c r="F184" s="59" t="str">
        <f t="shared" si="20"/>
        <v/>
      </c>
      <c r="G184" s="64"/>
      <c r="H184" s="64"/>
      <c r="I184" s="64"/>
      <c r="J184" s="211"/>
      <c r="K184" s="212"/>
      <c r="L184" s="212"/>
      <c r="M184" s="211"/>
      <c r="N184" s="211"/>
      <c r="P184" t="str">
        <f t="shared" si="21"/>
        <v/>
      </c>
      <c r="Q184" t="str">
        <f t="shared" si="22"/>
        <v/>
      </c>
      <c r="AA184" t="s">
        <v>1265</v>
      </c>
      <c r="AB184" t="s">
        <v>1266</v>
      </c>
    </row>
    <row r="185" spans="1:28">
      <c r="A185" s="74"/>
      <c r="B185" s="59" t="str">
        <f t="shared" si="18"/>
        <v/>
      </c>
      <c r="C185" s="74"/>
      <c r="D185" s="59" t="str">
        <f t="shared" si="19"/>
        <v/>
      </c>
      <c r="E185" s="75"/>
      <c r="F185" s="59" t="str">
        <f t="shared" si="20"/>
        <v/>
      </c>
      <c r="G185" s="64"/>
      <c r="H185" s="64"/>
      <c r="I185" s="64"/>
      <c r="J185" s="211"/>
      <c r="K185" s="212"/>
      <c r="L185" s="212"/>
      <c r="M185" s="211"/>
      <c r="N185" s="211"/>
      <c r="P185" t="str">
        <f t="shared" si="21"/>
        <v/>
      </c>
      <c r="Q185" t="str">
        <f t="shared" si="22"/>
        <v/>
      </c>
      <c r="AA185" t="s">
        <v>1267</v>
      </c>
      <c r="AB185" t="s">
        <v>1268</v>
      </c>
    </row>
    <row r="186" spans="1:28">
      <c r="A186" s="74"/>
      <c r="B186" s="59" t="str">
        <f t="shared" si="18"/>
        <v/>
      </c>
      <c r="C186" s="74"/>
      <c r="D186" s="59" t="str">
        <f t="shared" si="19"/>
        <v/>
      </c>
      <c r="E186" s="75"/>
      <c r="F186" s="59" t="str">
        <f t="shared" si="20"/>
        <v/>
      </c>
      <c r="G186" s="64"/>
      <c r="H186" s="64"/>
      <c r="I186" s="64"/>
      <c r="J186" s="211"/>
      <c r="K186" s="212"/>
      <c r="L186" s="212"/>
      <c r="M186" s="211"/>
      <c r="N186" s="211"/>
      <c r="P186" t="str">
        <f t="shared" si="21"/>
        <v/>
      </c>
      <c r="Q186" t="str">
        <f t="shared" si="22"/>
        <v/>
      </c>
      <c r="AA186" t="s">
        <v>1269</v>
      </c>
      <c r="AB186" t="s">
        <v>1270</v>
      </c>
    </row>
    <row r="187" spans="1:28">
      <c r="A187" s="74"/>
      <c r="B187" s="59" t="str">
        <f t="shared" si="18"/>
        <v/>
      </c>
      <c r="C187" s="74"/>
      <c r="D187" s="59" t="str">
        <f t="shared" si="19"/>
        <v/>
      </c>
      <c r="E187" s="75"/>
      <c r="F187" s="59" t="str">
        <f t="shared" si="20"/>
        <v/>
      </c>
      <c r="G187" s="64"/>
      <c r="H187" s="64"/>
      <c r="I187" s="64"/>
      <c r="J187" s="211"/>
      <c r="K187" s="212"/>
      <c r="L187" s="212"/>
      <c r="M187" s="211"/>
      <c r="N187" s="211"/>
      <c r="P187" t="str">
        <f t="shared" si="21"/>
        <v/>
      </c>
      <c r="Q187" t="str">
        <f t="shared" si="22"/>
        <v/>
      </c>
      <c r="AA187" t="s">
        <v>1271</v>
      </c>
      <c r="AB187" t="s">
        <v>1272</v>
      </c>
    </row>
    <row r="188" spans="1:28">
      <c r="A188" s="74"/>
      <c r="B188" s="59" t="str">
        <f t="shared" si="18"/>
        <v/>
      </c>
      <c r="C188" s="74"/>
      <c r="D188" s="59" t="str">
        <f t="shared" si="19"/>
        <v/>
      </c>
      <c r="E188" s="75"/>
      <c r="F188" s="59" t="str">
        <f t="shared" si="20"/>
        <v/>
      </c>
      <c r="G188" s="64"/>
      <c r="H188" s="64"/>
      <c r="I188" s="64"/>
      <c r="J188" s="211"/>
      <c r="K188" s="212"/>
      <c r="L188" s="212"/>
      <c r="M188" s="211"/>
      <c r="N188" s="211"/>
      <c r="P188" t="str">
        <f t="shared" si="21"/>
        <v/>
      </c>
      <c r="Q188" t="str">
        <f t="shared" si="22"/>
        <v/>
      </c>
      <c r="AA188" t="s">
        <v>1273</v>
      </c>
      <c r="AB188" t="s">
        <v>1274</v>
      </c>
    </row>
    <row r="189" spans="1:28">
      <c r="A189" s="74"/>
      <c r="B189" s="59" t="str">
        <f t="shared" si="18"/>
        <v/>
      </c>
      <c r="C189" s="74"/>
      <c r="D189" s="59" t="str">
        <f t="shared" si="19"/>
        <v/>
      </c>
      <c r="E189" s="75"/>
      <c r="F189" s="59" t="str">
        <f t="shared" si="20"/>
        <v/>
      </c>
      <c r="G189" s="64"/>
      <c r="H189" s="64"/>
      <c r="I189" s="64"/>
      <c r="J189" s="211"/>
      <c r="K189" s="212"/>
      <c r="L189" s="212"/>
      <c r="M189" s="211"/>
      <c r="N189" s="211"/>
      <c r="P189" t="str">
        <f t="shared" si="21"/>
        <v/>
      </c>
      <c r="Q189" t="str">
        <f t="shared" si="22"/>
        <v/>
      </c>
      <c r="AA189" t="s">
        <v>1275</v>
      </c>
      <c r="AB189" t="s">
        <v>1276</v>
      </c>
    </row>
    <row r="190" spans="1:28">
      <c r="A190" s="74"/>
      <c r="B190" s="59" t="str">
        <f t="shared" si="18"/>
        <v/>
      </c>
      <c r="C190" s="74"/>
      <c r="D190" s="59" t="str">
        <f t="shared" si="19"/>
        <v/>
      </c>
      <c r="E190" s="75"/>
      <c r="F190" s="59" t="str">
        <f t="shared" si="20"/>
        <v/>
      </c>
      <c r="G190" s="64"/>
      <c r="H190" s="64"/>
      <c r="I190" s="64"/>
      <c r="J190" s="211"/>
      <c r="K190" s="212"/>
      <c r="L190" s="212"/>
      <c r="M190" s="211"/>
      <c r="N190" s="211"/>
      <c r="P190" t="str">
        <f t="shared" si="21"/>
        <v/>
      </c>
      <c r="Q190" t="str">
        <f t="shared" si="22"/>
        <v/>
      </c>
      <c r="AA190" t="s">
        <v>1277</v>
      </c>
      <c r="AB190" t="s">
        <v>1278</v>
      </c>
    </row>
    <row r="191" spans="1:28">
      <c r="A191" s="74"/>
      <c r="B191" s="59" t="str">
        <f t="shared" si="18"/>
        <v/>
      </c>
      <c r="C191" s="74"/>
      <c r="D191" s="59" t="str">
        <f t="shared" si="19"/>
        <v/>
      </c>
      <c r="E191" s="75"/>
      <c r="F191" s="59" t="str">
        <f t="shared" si="20"/>
        <v/>
      </c>
      <c r="G191" s="64"/>
      <c r="H191" s="64"/>
      <c r="I191" s="64"/>
      <c r="J191" s="211"/>
      <c r="K191" s="212"/>
      <c r="L191" s="212"/>
      <c r="M191" s="211"/>
      <c r="N191" s="211"/>
      <c r="P191" t="str">
        <f t="shared" si="21"/>
        <v/>
      </c>
      <c r="Q191" t="str">
        <f t="shared" si="22"/>
        <v/>
      </c>
      <c r="AA191" t="s">
        <v>1279</v>
      </c>
      <c r="AB191" t="s">
        <v>1196</v>
      </c>
    </row>
    <row r="192" spans="1:28">
      <c r="A192" s="74"/>
      <c r="B192" s="59" t="str">
        <f t="shared" si="18"/>
        <v/>
      </c>
      <c r="C192" s="74"/>
      <c r="D192" s="59" t="str">
        <f t="shared" si="19"/>
        <v/>
      </c>
      <c r="E192" s="75"/>
      <c r="F192" s="59" t="str">
        <f t="shared" si="20"/>
        <v/>
      </c>
      <c r="G192" s="64"/>
      <c r="H192" s="64"/>
      <c r="I192" s="64"/>
      <c r="J192" s="211"/>
      <c r="K192" s="212"/>
      <c r="L192" s="212"/>
      <c r="M192" s="211"/>
      <c r="N192" s="211"/>
      <c r="P192" t="str">
        <f t="shared" si="21"/>
        <v/>
      </c>
      <c r="Q192" t="str">
        <f t="shared" si="22"/>
        <v/>
      </c>
      <c r="AA192" t="s">
        <v>1280</v>
      </c>
      <c r="AB192" t="s">
        <v>1198</v>
      </c>
    </row>
    <row r="193" spans="1:28">
      <c r="A193" s="74"/>
      <c r="B193" s="59" t="str">
        <f t="shared" si="18"/>
        <v/>
      </c>
      <c r="C193" s="74"/>
      <c r="D193" s="59" t="str">
        <f t="shared" si="19"/>
        <v/>
      </c>
      <c r="E193" s="75"/>
      <c r="F193" s="59" t="str">
        <f t="shared" si="20"/>
        <v/>
      </c>
      <c r="G193" s="64"/>
      <c r="H193" s="64"/>
      <c r="I193" s="64"/>
      <c r="J193" s="211"/>
      <c r="K193" s="212"/>
      <c r="L193" s="212"/>
      <c r="M193" s="211"/>
      <c r="N193" s="211"/>
      <c r="P193" t="str">
        <f t="shared" si="21"/>
        <v/>
      </c>
      <c r="Q193" t="str">
        <f t="shared" si="22"/>
        <v/>
      </c>
      <c r="AA193" t="s">
        <v>1281</v>
      </c>
      <c r="AB193" t="s">
        <v>1282</v>
      </c>
    </row>
    <row r="194" spans="1:28">
      <c r="A194" s="74"/>
      <c r="B194" s="59" t="str">
        <f t="shared" si="18"/>
        <v/>
      </c>
      <c r="C194" s="74"/>
      <c r="D194" s="59" t="str">
        <f t="shared" si="19"/>
        <v/>
      </c>
      <c r="E194" s="75"/>
      <c r="F194" s="59" t="str">
        <f t="shared" si="20"/>
        <v/>
      </c>
      <c r="G194" s="64"/>
      <c r="H194" s="64"/>
      <c r="I194" s="64"/>
      <c r="J194" s="211"/>
      <c r="K194" s="212"/>
      <c r="L194" s="212"/>
      <c r="M194" s="211"/>
      <c r="N194" s="211"/>
      <c r="P194" t="str">
        <f t="shared" si="21"/>
        <v/>
      </c>
      <c r="Q194" t="str">
        <f t="shared" si="22"/>
        <v/>
      </c>
      <c r="AA194" t="s">
        <v>1283</v>
      </c>
      <c r="AB194" t="s">
        <v>1200</v>
      </c>
    </row>
    <row r="195" spans="1:28">
      <c r="A195" s="74"/>
      <c r="B195" s="59" t="str">
        <f t="shared" ref="B195:B258" si="23">IFERROR(VLOOKUP(A195,$R$6:$S$16,2,0),"")</f>
        <v/>
      </c>
      <c r="C195" s="74"/>
      <c r="D195" s="59" t="str">
        <f t="shared" ref="D195:D258" si="24">IFERROR(VLOOKUP(C195,$U$5:$W$129,2,0),"")</f>
        <v/>
      </c>
      <c r="E195" s="75"/>
      <c r="F195" s="59" t="str">
        <f t="shared" ref="F195:F258" si="25">IFERROR(VLOOKUP(E195,$AA$6:$AB$200,2,0),"")</f>
        <v/>
      </c>
      <c r="G195" s="64"/>
      <c r="H195" s="64"/>
      <c r="I195" s="64"/>
      <c r="J195" s="211"/>
      <c r="K195" s="212"/>
      <c r="L195" s="212"/>
      <c r="M195" s="211"/>
      <c r="N195" s="211"/>
      <c r="P195" t="str">
        <f t="shared" ref="P195:P258" si="26">LEFT(C195,3)</f>
        <v/>
      </c>
      <c r="Q195" t="str">
        <f t="shared" ref="Q195:Q258" si="27">LEFT(C195,2)</f>
        <v/>
      </c>
    </row>
    <row r="196" spans="1:28">
      <c r="A196" s="74"/>
      <c r="B196" s="59" t="str">
        <f t="shared" si="23"/>
        <v/>
      </c>
      <c r="C196" s="74"/>
      <c r="D196" s="59" t="str">
        <f t="shared" si="24"/>
        <v/>
      </c>
      <c r="E196" s="75"/>
      <c r="F196" s="59" t="str">
        <f t="shared" si="25"/>
        <v/>
      </c>
      <c r="G196" s="64"/>
      <c r="H196" s="64"/>
      <c r="I196" s="64"/>
      <c r="J196" s="211"/>
      <c r="K196" s="212"/>
      <c r="L196" s="212"/>
      <c r="M196" s="211"/>
      <c r="N196" s="211"/>
      <c r="P196" t="str">
        <f t="shared" si="26"/>
        <v/>
      </c>
      <c r="Q196" t="str">
        <f t="shared" si="27"/>
        <v/>
      </c>
    </row>
    <row r="197" spans="1:28">
      <c r="A197" s="74"/>
      <c r="B197" s="59" t="str">
        <f t="shared" si="23"/>
        <v/>
      </c>
      <c r="C197" s="74"/>
      <c r="D197" s="59" t="str">
        <f t="shared" si="24"/>
        <v/>
      </c>
      <c r="E197" s="75"/>
      <c r="F197" s="59" t="str">
        <f t="shared" si="25"/>
        <v/>
      </c>
      <c r="G197" s="64"/>
      <c r="H197" s="64"/>
      <c r="I197" s="64"/>
      <c r="J197" s="211"/>
      <c r="K197" s="212"/>
      <c r="L197" s="212"/>
      <c r="M197" s="211"/>
      <c r="N197" s="211"/>
      <c r="P197" t="str">
        <f t="shared" si="26"/>
        <v/>
      </c>
      <c r="Q197" t="str">
        <f t="shared" si="27"/>
        <v/>
      </c>
    </row>
    <row r="198" spans="1:28">
      <c r="A198" s="74"/>
      <c r="B198" s="59" t="str">
        <f t="shared" si="23"/>
        <v/>
      </c>
      <c r="C198" s="74"/>
      <c r="D198" s="59" t="str">
        <f t="shared" si="24"/>
        <v/>
      </c>
      <c r="E198" s="75"/>
      <c r="F198" s="59" t="str">
        <f t="shared" si="25"/>
        <v/>
      </c>
      <c r="G198" s="64"/>
      <c r="H198" s="64"/>
      <c r="I198" s="64"/>
      <c r="J198" s="211"/>
      <c r="K198" s="212"/>
      <c r="L198" s="212"/>
      <c r="M198" s="211"/>
      <c r="N198" s="211"/>
      <c r="P198" t="str">
        <f t="shared" si="26"/>
        <v/>
      </c>
      <c r="Q198" t="str">
        <f t="shared" si="27"/>
        <v/>
      </c>
    </row>
    <row r="199" spans="1:28">
      <c r="A199" s="74"/>
      <c r="B199" s="59" t="str">
        <f t="shared" si="23"/>
        <v/>
      </c>
      <c r="C199" s="74"/>
      <c r="D199" s="59" t="str">
        <f t="shared" si="24"/>
        <v/>
      </c>
      <c r="E199" s="75"/>
      <c r="F199" s="59" t="str">
        <f t="shared" si="25"/>
        <v/>
      </c>
      <c r="G199" s="64"/>
      <c r="H199" s="64"/>
      <c r="I199" s="64"/>
      <c r="J199" s="211"/>
      <c r="K199" s="212"/>
      <c r="L199" s="212"/>
      <c r="M199" s="211"/>
      <c r="N199" s="211"/>
      <c r="P199" t="str">
        <f t="shared" si="26"/>
        <v/>
      </c>
      <c r="Q199" t="str">
        <f t="shared" si="27"/>
        <v/>
      </c>
    </row>
    <row r="200" spans="1:28">
      <c r="A200" s="74"/>
      <c r="B200" s="59" t="str">
        <f t="shared" si="23"/>
        <v/>
      </c>
      <c r="C200" s="74"/>
      <c r="D200" s="59" t="str">
        <f t="shared" si="24"/>
        <v/>
      </c>
      <c r="E200" s="75"/>
      <c r="F200" s="59" t="str">
        <f t="shared" si="25"/>
        <v/>
      </c>
      <c r="G200" s="64"/>
      <c r="H200" s="64"/>
      <c r="I200" s="64"/>
      <c r="J200" s="211"/>
      <c r="K200" s="212"/>
      <c r="L200" s="212"/>
      <c r="M200" s="211"/>
      <c r="N200" s="211"/>
      <c r="P200" t="str">
        <f t="shared" si="26"/>
        <v/>
      </c>
      <c r="Q200" t="str">
        <f t="shared" si="27"/>
        <v/>
      </c>
    </row>
    <row r="201" spans="1:28">
      <c r="A201" s="74"/>
      <c r="B201" s="59" t="str">
        <f t="shared" si="23"/>
        <v/>
      </c>
      <c r="C201" s="74"/>
      <c r="D201" s="59" t="str">
        <f t="shared" si="24"/>
        <v/>
      </c>
      <c r="E201" s="75"/>
      <c r="F201" s="59" t="str">
        <f t="shared" si="25"/>
        <v/>
      </c>
      <c r="G201" s="64"/>
      <c r="H201" s="64"/>
      <c r="I201" s="64"/>
      <c r="J201" s="211"/>
      <c r="K201" s="212"/>
      <c r="L201" s="212"/>
      <c r="M201" s="211"/>
      <c r="N201" s="211"/>
      <c r="P201" t="str">
        <f t="shared" si="26"/>
        <v/>
      </c>
      <c r="Q201" t="str">
        <f t="shared" si="27"/>
        <v/>
      </c>
    </row>
    <row r="202" spans="1:28">
      <c r="A202" s="74"/>
      <c r="B202" s="59" t="str">
        <f t="shared" si="23"/>
        <v/>
      </c>
      <c r="C202" s="74"/>
      <c r="D202" s="59" t="str">
        <f t="shared" si="24"/>
        <v/>
      </c>
      <c r="E202" s="75"/>
      <c r="F202" s="59" t="str">
        <f t="shared" si="25"/>
        <v/>
      </c>
      <c r="G202" s="64"/>
      <c r="H202" s="64"/>
      <c r="I202" s="64"/>
      <c r="J202" s="211"/>
      <c r="K202" s="212"/>
      <c r="L202" s="212"/>
      <c r="M202" s="211"/>
      <c r="N202" s="211"/>
      <c r="P202" t="str">
        <f t="shared" si="26"/>
        <v/>
      </c>
      <c r="Q202" t="str">
        <f t="shared" si="27"/>
        <v/>
      </c>
    </row>
    <row r="203" spans="1:28">
      <c r="A203" s="74"/>
      <c r="B203" s="59" t="str">
        <f t="shared" si="23"/>
        <v/>
      </c>
      <c r="C203" s="74"/>
      <c r="D203" s="59" t="str">
        <f t="shared" si="24"/>
        <v/>
      </c>
      <c r="E203" s="75"/>
      <c r="F203" s="59" t="str">
        <f t="shared" si="25"/>
        <v/>
      </c>
      <c r="G203" s="64"/>
      <c r="H203" s="64"/>
      <c r="I203" s="64"/>
      <c r="J203" s="211"/>
      <c r="K203" s="212"/>
      <c r="L203" s="212"/>
      <c r="M203" s="211"/>
      <c r="N203" s="211"/>
      <c r="P203" t="str">
        <f t="shared" si="26"/>
        <v/>
      </c>
      <c r="Q203" t="str">
        <f t="shared" si="27"/>
        <v/>
      </c>
    </row>
    <row r="204" spans="1:28">
      <c r="A204" s="74"/>
      <c r="B204" s="59" t="str">
        <f t="shared" si="23"/>
        <v/>
      </c>
      <c r="C204" s="74"/>
      <c r="D204" s="59" t="str">
        <f t="shared" si="24"/>
        <v/>
      </c>
      <c r="E204" s="75"/>
      <c r="F204" s="59" t="str">
        <f t="shared" si="25"/>
        <v/>
      </c>
      <c r="G204" s="64"/>
      <c r="H204" s="64"/>
      <c r="I204" s="64"/>
      <c r="J204" s="211"/>
      <c r="K204" s="212"/>
      <c r="L204" s="212"/>
      <c r="M204" s="211"/>
      <c r="N204" s="211"/>
      <c r="P204" t="str">
        <f t="shared" si="26"/>
        <v/>
      </c>
      <c r="Q204" t="str">
        <f t="shared" si="27"/>
        <v/>
      </c>
    </row>
    <row r="205" spans="1:28">
      <c r="A205" s="74"/>
      <c r="B205" s="59" t="str">
        <f t="shared" si="23"/>
        <v/>
      </c>
      <c r="C205" s="74"/>
      <c r="D205" s="59" t="str">
        <f t="shared" si="24"/>
        <v/>
      </c>
      <c r="E205" s="75"/>
      <c r="F205" s="59" t="str">
        <f t="shared" si="25"/>
        <v/>
      </c>
      <c r="G205" s="64"/>
      <c r="H205" s="64"/>
      <c r="I205" s="64"/>
      <c r="J205" s="211"/>
      <c r="K205" s="212"/>
      <c r="L205" s="212"/>
      <c r="M205" s="211"/>
      <c r="N205" s="211"/>
      <c r="P205" t="str">
        <f t="shared" si="26"/>
        <v/>
      </c>
      <c r="Q205" t="str">
        <f t="shared" si="27"/>
        <v/>
      </c>
    </row>
    <row r="206" spans="1:28">
      <c r="A206" s="74"/>
      <c r="B206" s="59" t="str">
        <f t="shared" si="23"/>
        <v/>
      </c>
      <c r="C206" s="74"/>
      <c r="D206" s="59" t="str">
        <f t="shared" si="24"/>
        <v/>
      </c>
      <c r="E206" s="75"/>
      <c r="F206" s="59" t="str">
        <f t="shared" si="25"/>
        <v/>
      </c>
      <c r="G206" s="64"/>
      <c r="H206" s="64"/>
      <c r="I206" s="64"/>
      <c r="J206" s="211"/>
      <c r="K206" s="212"/>
      <c r="L206" s="212"/>
      <c r="M206" s="211"/>
      <c r="N206" s="211"/>
      <c r="P206" t="str">
        <f t="shared" si="26"/>
        <v/>
      </c>
      <c r="Q206" t="str">
        <f t="shared" si="27"/>
        <v/>
      </c>
    </row>
    <row r="207" spans="1:28">
      <c r="A207" s="74"/>
      <c r="B207" s="59" t="str">
        <f t="shared" si="23"/>
        <v/>
      </c>
      <c r="C207" s="74"/>
      <c r="D207" s="59" t="str">
        <f t="shared" si="24"/>
        <v/>
      </c>
      <c r="E207" s="75"/>
      <c r="F207" s="59" t="str">
        <f t="shared" si="25"/>
        <v/>
      </c>
      <c r="G207" s="64"/>
      <c r="H207" s="64"/>
      <c r="I207" s="64"/>
      <c r="J207" s="211"/>
      <c r="K207" s="212"/>
      <c r="L207" s="212"/>
      <c r="M207" s="211"/>
      <c r="N207" s="211"/>
      <c r="P207" t="str">
        <f t="shared" si="26"/>
        <v/>
      </c>
      <c r="Q207" t="str">
        <f t="shared" si="27"/>
        <v/>
      </c>
    </row>
    <row r="208" spans="1:28">
      <c r="A208" s="74"/>
      <c r="B208" s="59" t="str">
        <f t="shared" si="23"/>
        <v/>
      </c>
      <c r="C208" s="74"/>
      <c r="D208" s="59" t="str">
        <f t="shared" si="24"/>
        <v/>
      </c>
      <c r="E208" s="75"/>
      <c r="F208" s="59" t="str">
        <f t="shared" si="25"/>
        <v/>
      </c>
      <c r="G208" s="64"/>
      <c r="H208" s="64"/>
      <c r="I208" s="64"/>
      <c r="J208" s="211"/>
      <c r="K208" s="212"/>
      <c r="L208" s="212"/>
      <c r="M208" s="211"/>
      <c r="N208" s="211"/>
      <c r="P208" t="str">
        <f t="shared" si="26"/>
        <v/>
      </c>
      <c r="Q208" t="str">
        <f t="shared" si="27"/>
        <v/>
      </c>
    </row>
    <row r="209" spans="1:17">
      <c r="A209" s="74"/>
      <c r="B209" s="59" t="str">
        <f t="shared" si="23"/>
        <v/>
      </c>
      <c r="C209" s="74"/>
      <c r="D209" s="59" t="str">
        <f t="shared" si="24"/>
        <v/>
      </c>
      <c r="E209" s="75"/>
      <c r="F209" s="59" t="str">
        <f t="shared" si="25"/>
        <v/>
      </c>
      <c r="G209" s="64"/>
      <c r="H209" s="64"/>
      <c r="I209" s="64"/>
      <c r="J209" s="211"/>
      <c r="K209" s="212"/>
      <c r="L209" s="212"/>
      <c r="M209" s="211"/>
      <c r="N209" s="211"/>
      <c r="P209" t="str">
        <f t="shared" si="26"/>
        <v/>
      </c>
      <c r="Q209" t="str">
        <f t="shared" si="27"/>
        <v/>
      </c>
    </row>
    <row r="210" spans="1:17">
      <c r="A210" s="74"/>
      <c r="B210" s="59" t="str">
        <f t="shared" si="23"/>
        <v/>
      </c>
      <c r="C210" s="74"/>
      <c r="D210" s="59" t="str">
        <f t="shared" si="24"/>
        <v/>
      </c>
      <c r="E210" s="75"/>
      <c r="F210" s="59" t="str">
        <f t="shared" si="25"/>
        <v/>
      </c>
      <c r="G210" s="64"/>
      <c r="H210" s="64"/>
      <c r="I210" s="64"/>
      <c r="J210" s="211"/>
      <c r="K210" s="212"/>
      <c r="L210" s="212"/>
      <c r="M210" s="211"/>
      <c r="N210" s="211"/>
      <c r="P210" t="str">
        <f t="shared" si="26"/>
        <v/>
      </c>
      <c r="Q210" t="str">
        <f t="shared" si="27"/>
        <v/>
      </c>
    </row>
    <row r="211" spans="1:17">
      <c r="A211" s="74"/>
      <c r="B211" s="59" t="str">
        <f t="shared" si="23"/>
        <v/>
      </c>
      <c r="C211" s="74"/>
      <c r="D211" s="59" t="str">
        <f t="shared" si="24"/>
        <v/>
      </c>
      <c r="E211" s="75"/>
      <c r="F211" s="59" t="str">
        <f t="shared" si="25"/>
        <v/>
      </c>
      <c r="G211" s="64"/>
      <c r="H211" s="64"/>
      <c r="I211" s="64"/>
      <c r="J211" s="211"/>
      <c r="K211" s="212"/>
      <c r="L211" s="212"/>
      <c r="M211" s="211"/>
      <c r="N211" s="211"/>
      <c r="P211" t="str">
        <f t="shared" si="26"/>
        <v/>
      </c>
      <c r="Q211" t="str">
        <f t="shared" si="27"/>
        <v/>
      </c>
    </row>
    <row r="212" spans="1:17">
      <c r="A212" s="74"/>
      <c r="B212" s="59" t="str">
        <f t="shared" si="23"/>
        <v/>
      </c>
      <c r="C212" s="74"/>
      <c r="D212" s="59" t="str">
        <f t="shared" si="24"/>
        <v/>
      </c>
      <c r="E212" s="75"/>
      <c r="F212" s="59" t="str">
        <f t="shared" si="25"/>
        <v/>
      </c>
      <c r="G212" s="64"/>
      <c r="H212" s="64"/>
      <c r="I212" s="64"/>
      <c r="J212" s="211"/>
      <c r="K212" s="212"/>
      <c r="L212" s="212"/>
      <c r="M212" s="211"/>
      <c r="N212" s="211"/>
      <c r="P212" t="str">
        <f t="shared" si="26"/>
        <v/>
      </c>
      <c r="Q212" t="str">
        <f t="shared" si="27"/>
        <v/>
      </c>
    </row>
    <row r="213" spans="1:17">
      <c r="A213" s="74"/>
      <c r="B213" s="59" t="str">
        <f t="shared" si="23"/>
        <v/>
      </c>
      <c r="C213" s="74"/>
      <c r="D213" s="59" t="str">
        <f t="shared" si="24"/>
        <v/>
      </c>
      <c r="E213" s="75"/>
      <c r="F213" s="59" t="str">
        <f t="shared" si="25"/>
        <v/>
      </c>
      <c r="G213" s="64"/>
      <c r="H213" s="64"/>
      <c r="I213" s="64"/>
      <c r="J213" s="211"/>
      <c r="K213" s="212"/>
      <c r="L213" s="212"/>
      <c r="M213" s="211"/>
      <c r="N213" s="211"/>
      <c r="P213" t="str">
        <f t="shared" si="26"/>
        <v/>
      </c>
      <c r="Q213" t="str">
        <f t="shared" si="27"/>
        <v/>
      </c>
    </row>
    <row r="214" spans="1:17">
      <c r="A214" s="74"/>
      <c r="B214" s="59" t="str">
        <f t="shared" si="23"/>
        <v/>
      </c>
      <c r="C214" s="74"/>
      <c r="D214" s="59" t="str">
        <f t="shared" si="24"/>
        <v/>
      </c>
      <c r="E214" s="75"/>
      <c r="F214" s="59" t="str">
        <f t="shared" si="25"/>
        <v/>
      </c>
      <c r="G214" s="64"/>
      <c r="H214" s="64"/>
      <c r="I214" s="64"/>
      <c r="J214" s="211"/>
      <c r="K214" s="212"/>
      <c r="L214" s="212"/>
      <c r="M214" s="211"/>
      <c r="N214" s="211"/>
      <c r="P214" t="str">
        <f t="shared" si="26"/>
        <v/>
      </c>
      <c r="Q214" t="str">
        <f t="shared" si="27"/>
        <v/>
      </c>
    </row>
    <row r="215" spans="1:17">
      <c r="A215" s="74"/>
      <c r="B215" s="59" t="str">
        <f t="shared" si="23"/>
        <v/>
      </c>
      <c r="C215" s="74"/>
      <c r="D215" s="59" t="str">
        <f t="shared" si="24"/>
        <v/>
      </c>
      <c r="E215" s="75"/>
      <c r="F215" s="59" t="str">
        <f t="shared" si="25"/>
        <v/>
      </c>
      <c r="G215" s="64"/>
      <c r="H215" s="64"/>
      <c r="I215" s="64"/>
      <c r="J215" s="211"/>
      <c r="K215" s="212"/>
      <c r="L215" s="212"/>
      <c r="M215" s="211"/>
      <c r="N215" s="211"/>
      <c r="P215" t="str">
        <f t="shared" si="26"/>
        <v/>
      </c>
      <c r="Q215" t="str">
        <f t="shared" si="27"/>
        <v/>
      </c>
    </row>
    <row r="216" spans="1:17">
      <c r="A216" s="74"/>
      <c r="B216" s="59" t="str">
        <f t="shared" si="23"/>
        <v/>
      </c>
      <c r="C216" s="74"/>
      <c r="D216" s="59" t="str">
        <f t="shared" si="24"/>
        <v/>
      </c>
      <c r="E216" s="75"/>
      <c r="F216" s="59" t="str">
        <f t="shared" si="25"/>
        <v/>
      </c>
      <c r="G216" s="64"/>
      <c r="H216" s="64"/>
      <c r="I216" s="64"/>
      <c r="J216" s="211"/>
      <c r="K216" s="212"/>
      <c r="L216" s="212"/>
      <c r="M216" s="211"/>
      <c r="N216" s="211"/>
      <c r="P216" t="str">
        <f t="shared" si="26"/>
        <v/>
      </c>
      <c r="Q216" t="str">
        <f t="shared" si="27"/>
        <v/>
      </c>
    </row>
    <row r="217" spans="1:17">
      <c r="A217" s="74"/>
      <c r="B217" s="59" t="str">
        <f t="shared" si="23"/>
        <v/>
      </c>
      <c r="C217" s="74"/>
      <c r="D217" s="59" t="str">
        <f t="shared" si="24"/>
        <v/>
      </c>
      <c r="E217" s="75"/>
      <c r="F217" s="59" t="str">
        <f t="shared" si="25"/>
        <v/>
      </c>
      <c r="G217" s="64"/>
      <c r="H217" s="64"/>
      <c r="I217" s="64"/>
      <c r="J217" s="211"/>
      <c r="K217" s="212"/>
      <c r="L217" s="212"/>
      <c r="M217" s="211"/>
      <c r="N217" s="211"/>
      <c r="P217" t="str">
        <f t="shared" si="26"/>
        <v/>
      </c>
      <c r="Q217" t="str">
        <f t="shared" si="27"/>
        <v/>
      </c>
    </row>
    <row r="218" spans="1:17">
      <c r="A218" s="74"/>
      <c r="B218" s="59" t="str">
        <f t="shared" si="23"/>
        <v/>
      </c>
      <c r="C218" s="74"/>
      <c r="D218" s="59" t="str">
        <f t="shared" si="24"/>
        <v/>
      </c>
      <c r="E218" s="75"/>
      <c r="F218" s="59" t="str">
        <f t="shared" si="25"/>
        <v/>
      </c>
      <c r="G218" s="64"/>
      <c r="H218" s="64"/>
      <c r="I218" s="64"/>
      <c r="J218" s="211"/>
      <c r="K218" s="212"/>
      <c r="L218" s="212"/>
      <c r="M218" s="211"/>
      <c r="N218" s="211"/>
      <c r="P218" t="str">
        <f t="shared" si="26"/>
        <v/>
      </c>
      <c r="Q218" t="str">
        <f t="shared" si="27"/>
        <v/>
      </c>
    </row>
    <row r="219" spans="1:17">
      <c r="A219" s="74"/>
      <c r="B219" s="59" t="str">
        <f t="shared" si="23"/>
        <v/>
      </c>
      <c r="C219" s="74"/>
      <c r="D219" s="59" t="str">
        <f t="shared" si="24"/>
        <v/>
      </c>
      <c r="E219" s="75"/>
      <c r="F219" s="59" t="str">
        <f t="shared" si="25"/>
        <v/>
      </c>
      <c r="G219" s="64"/>
      <c r="H219" s="64"/>
      <c r="I219" s="64"/>
      <c r="J219" s="211"/>
      <c r="K219" s="212"/>
      <c r="L219" s="212"/>
      <c r="M219" s="211"/>
      <c r="N219" s="211"/>
      <c r="P219" t="str">
        <f t="shared" si="26"/>
        <v/>
      </c>
      <c r="Q219" t="str">
        <f t="shared" si="27"/>
        <v/>
      </c>
    </row>
    <row r="220" spans="1:17">
      <c r="A220" s="74"/>
      <c r="B220" s="59" t="str">
        <f t="shared" si="23"/>
        <v/>
      </c>
      <c r="C220" s="74"/>
      <c r="D220" s="59" t="str">
        <f t="shared" si="24"/>
        <v/>
      </c>
      <c r="E220" s="75"/>
      <c r="F220" s="59" t="str">
        <f t="shared" si="25"/>
        <v/>
      </c>
      <c r="G220" s="64"/>
      <c r="H220" s="64"/>
      <c r="I220" s="64"/>
      <c r="J220" s="211"/>
      <c r="K220" s="212"/>
      <c r="L220" s="212"/>
      <c r="M220" s="211"/>
      <c r="N220" s="211"/>
      <c r="P220" t="str">
        <f t="shared" si="26"/>
        <v/>
      </c>
      <c r="Q220" t="str">
        <f t="shared" si="27"/>
        <v/>
      </c>
    </row>
    <row r="221" spans="1:17">
      <c r="A221" s="74"/>
      <c r="B221" s="59" t="str">
        <f t="shared" si="23"/>
        <v/>
      </c>
      <c r="C221" s="74"/>
      <c r="D221" s="59" t="str">
        <f t="shared" si="24"/>
        <v/>
      </c>
      <c r="E221" s="75"/>
      <c r="F221" s="59" t="str">
        <f t="shared" si="25"/>
        <v/>
      </c>
      <c r="G221" s="64"/>
      <c r="H221" s="64"/>
      <c r="I221" s="64"/>
      <c r="J221" s="211"/>
      <c r="K221" s="212"/>
      <c r="L221" s="212"/>
      <c r="M221" s="211"/>
      <c r="N221" s="211"/>
      <c r="P221" t="str">
        <f t="shared" si="26"/>
        <v/>
      </c>
      <c r="Q221" t="str">
        <f t="shared" si="27"/>
        <v/>
      </c>
    </row>
    <row r="222" spans="1:17">
      <c r="A222" s="74"/>
      <c r="B222" s="59" t="str">
        <f t="shared" si="23"/>
        <v/>
      </c>
      <c r="C222" s="74"/>
      <c r="D222" s="59" t="str">
        <f t="shared" si="24"/>
        <v/>
      </c>
      <c r="E222" s="75"/>
      <c r="F222" s="59" t="str">
        <f t="shared" si="25"/>
        <v/>
      </c>
      <c r="G222" s="64"/>
      <c r="H222" s="64"/>
      <c r="I222" s="64"/>
      <c r="J222" s="211"/>
      <c r="K222" s="212"/>
      <c r="L222" s="212"/>
      <c r="M222" s="211"/>
      <c r="N222" s="211"/>
      <c r="P222" t="str">
        <f t="shared" si="26"/>
        <v/>
      </c>
      <c r="Q222" t="str">
        <f t="shared" si="27"/>
        <v/>
      </c>
    </row>
    <row r="223" spans="1:17">
      <c r="A223" s="74"/>
      <c r="B223" s="59" t="str">
        <f t="shared" si="23"/>
        <v/>
      </c>
      <c r="C223" s="74"/>
      <c r="D223" s="59" t="str">
        <f t="shared" si="24"/>
        <v/>
      </c>
      <c r="E223" s="75"/>
      <c r="F223" s="59" t="str">
        <f t="shared" si="25"/>
        <v/>
      </c>
      <c r="G223" s="64"/>
      <c r="H223" s="64"/>
      <c r="I223" s="64"/>
      <c r="J223" s="211"/>
      <c r="K223" s="212"/>
      <c r="L223" s="212"/>
      <c r="M223" s="211"/>
      <c r="N223" s="211"/>
      <c r="P223" t="str">
        <f t="shared" si="26"/>
        <v/>
      </c>
      <c r="Q223" t="str">
        <f t="shared" si="27"/>
        <v/>
      </c>
    </row>
    <row r="224" spans="1:17">
      <c r="A224" s="74"/>
      <c r="B224" s="59" t="str">
        <f t="shared" si="23"/>
        <v/>
      </c>
      <c r="C224" s="74"/>
      <c r="D224" s="59" t="str">
        <f t="shared" si="24"/>
        <v/>
      </c>
      <c r="E224" s="75"/>
      <c r="F224" s="59" t="str">
        <f t="shared" si="25"/>
        <v/>
      </c>
      <c r="G224" s="64"/>
      <c r="H224" s="64"/>
      <c r="I224" s="64"/>
      <c r="J224" s="211"/>
      <c r="K224" s="212"/>
      <c r="L224" s="212"/>
      <c r="M224" s="211"/>
      <c r="N224" s="211"/>
      <c r="P224" t="str">
        <f t="shared" si="26"/>
        <v/>
      </c>
      <c r="Q224" t="str">
        <f t="shared" si="27"/>
        <v/>
      </c>
    </row>
    <row r="225" spans="1:17">
      <c r="A225" s="74"/>
      <c r="B225" s="59" t="str">
        <f t="shared" si="23"/>
        <v/>
      </c>
      <c r="C225" s="74"/>
      <c r="D225" s="59" t="str">
        <f t="shared" si="24"/>
        <v/>
      </c>
      <c r="E225" s="75"/>
      <c r="F225" s="59" t="str">
        <f t="shared" si="25"/>
        <v/>
      </c>
      <c r="G225" s="64"/>
      <c r="H225" s="64"/>
      <c r="I225" s="64"/>
      <c r="J225" s="211"/>
      <c r="K225" s="212"/>
      <c r="L225" s="212"/>
      <c r="M225" s="211"/>
      <c r="N225" s="211"/>
      <c r="P225" t="str">
        <f t="shared" si="26"/>
        <v/>
      </c>
      <c r="Q225" t="str">
        <f t="shared" si="27"/>
        <v/>
      </c>
    </row>
    <row r="226" spans="1:17">
      <c r="A226" s="74"/>
      <c r="B226" s="59" t="str">
        <f t="shared" si="23"/>
        <v/>
      </c>
      <c r="C226" s="74"/>
      <c r="D226" s="59" t="str">
        <f t="shared" si="24"/>
        <v/>
      </c>
      <c r="E226" s="75"/>
      <c r="F226" s="59" t="str">
        <f t="shared" si="25"/>
        <v/>
      </c>
      <c r="G226" s="64"/>
      <c r="H226" s="64"/>
      <c r="I226" s="64"/>
      <c r="J226" s="211"/>
      <c r="K226" s="212"/>
      <c r="L226" s="212"/>
      <c r="M226" s="211"/>
      <c r="N226" s="211"/>
      <c r="P226" t="str">
        <f t="shared" si="26"/>
        <v/>
      </c>
      <c r="Q226" t="str">
        <f t="shared" si="27"/>
        <v/>
      </c>
    </row>
    <row r="227" spans="1:17">
      <c r="A227" s="74"/>
      <c r="B227" s="59" t="str">
        <f t="shared" si="23"/>
        <v/>
      </c>
      <c r="C227" s="74"/>
      <c r="D227" s="59" t="str">
        <f t="shared" si="24"/>
        <v/>
      </c>
      <c r="E227" s="75"/>
      <c r="F227" s="59" t="str">
        <f t="shared" si="25"/>
        <v/>
      </c>
      <c r="G227" s="64"/>
      <c r="H227" s="64"/>
      <c r="I227" s="64"/>
      <c r="J227" s="211"/>
      <c r="K227" s="212"/>
      <c r="L227" s="212"/>
      <c r="M227" s="211"/>
      <c r="N227" s="211"/>
      <c r="P227" t="str">
        <f t="shared" si="26"/>
        <v/>
      </c>
      <c r="Q227" t="str">
        <f t="shared" si="27"/>
        <v/>
      </c>
    </row>
    <row r="228" spans="1:17">
      <c r="A228" s="74"/>
      <c r="B228" s="59" t="str">
        <f t="shared" si="23"/>
        <v/>
      </c>
      <c r="C228" s="74"/>
      <c r="D228" s="59" t="str">
        <f t="shared" si="24"/>
        <v/>
      </c>
      <c r="E228" s="75"/>
      <c r="F228" s="59" t="str">
        <f t="shared" si="25"/>
        <v/>
      </c>
      <c r="G228" s="64"/>
      <c r="H228" s="64"/>
      <c r="I228" s="64"/>
      <c r="J228" s="211"/>
      <c r="K228" s="212"/>
      <c r="L228" s="212"/>
      <c r="M228" s="211"/>
      <c r="N228" s="211"/>
      <c r="P228" t="str">
        <f t="shared" si="26"/>
        <v/>
      </c>
      <c r="Q228" t="str">
        <f t="shared" si="27"/>
        <v/>
      </c>
    </row>
    <row r="229" spans="1:17">
      <c r="A229" s="74"/>
      <c r="B229" s="59" t="str">
        <f t="shared" si="23"/>
        <v/>
      </c>
      <c r="C229" s="74"/>
      <c r="D229" s="59" t="str">
        <f t="shared" si="24"/>
        <v/>
      </c>
      <c r="E229" s="75"/>
      <c r="F229" s="59" t="str">
        <f t="shared" si="25"/>
        <v/>
      </c>
      <c r="G229" s="64"/>
      <c r="H229" s="64"/>
      <c r="I229" s="64"/>
      <c r="J229" s="211"/>
      <c r="K229" s="212"/>
      <c r="L229" s="212"/>
      <c r="M229" s="211"/>
      <c r="N229" s="211"/>
      <c r="P229" t="str">
        <f t="shared" si="26"/>
        <v/>
      </c>
      <c r="Q229" t="str">
        <f t="shared" si="27"/>
        <v/>
      </c>
    </row>
    <row r="230" spans="1:17">
      <c r="A230" s="74"/>
      <c r="B230" s="59" t="str">
        <f t="shared" si="23"/>
        <v/>
      </c>
      <c r="C230" s="74"/>
      <c r="D230" s="59" t="str">
        <f t="shared" si="24"/>
        <v/>
      </c>
      <c r="E230" s="75"/>
      <c r="F230" s="59" t="str">
        <f t="shared" si="25"/>
        <v/>
      </c>
      <c r="G230" s="64"/>
      <c r="H230" s="64"/>
      <c r="I230" s="64"/>
      <c r="J230" s="211"/>
      <c r="K230" s="212"/>
      <c r="L230" s="212"/>
      <c r="M230" s="211"/>
      <c r="N230" s="211"/>
      <c r="P230" t="str">
        <f t="shared" si="26"/>
        <v/>
      </c>
      <c r="Q230" t="str">
        <f t="shared" si="27"/>
        <v/>
      </c>
    </row>
    <row r="231" spans="1:17">
      <c r="A231" s="74"/>
      <c r="B231" s="59" t="str">
        <f t="shared" si="23"/>
        <v/>
      </c>
      <c r="C231" s="74"/>
      <c r="D231" s="59" t="str">
        <f t="shared" si="24"/>
        <v/>
      </c>
      <c r="E231" s="75"/>
      <c r="F231" s="59" t="str">
        <f t="shared" si="25"/>
        <v/>
      </c>
      <c r="G231" s="64"/>
      <c r="H231" s="64"/>
      <c r="I231" s="64"/>
      <c r="J231" s="211"/>
      <c r="K231" s="212"/>
      <c r="L231" s="212"/>
      <c r="M231" s="211"/>
      <c r="N231" s="211"/>
      <c r="P231" t="str">
        <f t="shared" si="26"/>
        <v/>
      </c>
      <c r="Q231" t="str">
        <f t="shared" si="27"/>
        <v/>
      </c>
    </row>
    <row r="232" spans="1:17">
      <c r="A232" s="74"/>
      <c r="B232" s="59" t="str">
        <f t="shared" si="23"/>
        <v/>
      </c>
      <c r="C232" s="74"/>
      <c r="D232" s="59" t="str">
        <f t="shared" si="24"/>
        <v/>
      </c>
      <c r="E232" s="75"/>
      <c r="F232" s="59" t="str">
        <f t="shared" si="25"/>
        <v/>
      </c>
      <c r="G232" s="64"/>
      <c r="H232" s="64"/>
      <c r="I232" s="64"/>
      <c r="J232" s="211"/>
      <c r="K232" s="212"/>
      <c r="L232" s="212"/>
      <c r="M232" s="211"/>
      <c r="N232" s="211"/>
      <c r="P232" t="str">
        <f t="shared" si="26"/>
        <v/>
      </c>
      <c r="Q232" t="str">
        <f t="shared" si="27"/>
        <v/>
      </c>
    </row>
    <row r="233" spans="1:17">
      <c r="A233" s="74"/>
      <c r="B233" s="59" t="str">
        <f t="shared" si="23"/>
        <v/>
      </c>
      <c r="C233" s="74"/>
      <c r="D233" s="59" t="str">
        <f t="shared" si="24"/>
        <v/>
      </c>
      <c r="E233" s="75"/>
      <c r="F233" s="59" t="str">
        <f t="shared" si="25"/>
        <v/>
      </c>
      <c r="G233" s="64"/>
      <c r="H233" s="64"/>
      <c r="I233" s="64"/>
      <c r="J233" s="211"/>
      <c r="K233" s="212"/>
      <c r="L233" s="212"/>
      <c r="M233" s="211"/>
      <c r="N233" s="211"/>
      <c r="P233" t="str">
        <f t="shared" si="26"/>
        <v/>
      </c>
      <c r="Q233" t="str">
        <f t="shared" si="27"/>
        <v/>
      </c>
    </row>
    <row r="234" spans="1:17">
      <c r="A234" s="74"/>
      <c r="B234" s="59" t="str">
        <f t="shared" si="23"/>
        <v/>
      </c>
      <c r="C234" s="74"/>
      <c r="D234" s="59" t="str">
        <f t="shared" si="24"/>
        <v/>
      </c>
      <c r="E234" s="75"/>
      <c r="F234" s="59" t="str">
        <f t="shared" si="25"/>
        <v/>
      </c>
      <c r="G234" s="64"/>
      <c r="H234" s="64"/>
      <c r="I234" s="64"/>
      <c r="J234" s="211"/>
      <c r="K234" s="212"/>
      <c r="L234" s="212"/>
      <c r="M234" s="211"/>
      <c r="N234" s="211"/>
      <c r="P234" t="str">
        <f t="shared" si="26"/>
        <v/>
      </c>
      <c r="Q234" t="str">
        <f t="shared" si="27"/>
        <v/>
      </c>
    </row>
    <row r="235" spans="1:17">
      <c r="A235" s="74"/>
      <c r="B235" s="59" t="str">
        <f t="shared" si="23"/>
        <v/>
      </c>
      <c r="C235" s="74"/>
      <c r="D235" s="59" t="str">
        <f t="shared" si="24"/>
        <v/>
      </c>
      <c r="E235" s="75"/>
      <c r="F235" s="59" t="str">
        <f t="shared" si="25"/>
        <v/>
      </c>
      <c r="G235" s="64"/>
      <c r="H235" s="64"/>
      <c r="I235" s="64"/>
      <c r="J235" s="211"/>
      <c r="K235" s="212"/>
      <c r="L235" s="212"/>
      <c r="M235" s="211"/>
      <c r="N235" s="211"/>
      <c r="P235" t="str">
        <f t="shared" si="26"/>
        <v/>
      </c>
      <c r="Q235" t="str">
        <f t="shared" si="27"/>
        <v/>
      </c>
    </row>
    <row r="236" spans="1:17">
      <c r="A236" s="74"/>
      <c r="B236" s="59" t="str">
        <f t="shared" si="23"/>
        <v/>
      </c>
      <c r="C236" s="74"/>
      <c r="D236" s="59" t="str">
        <f t="shared" si="24"/>
        <v/>
      </c>
      <c r="E236" s="75"/>
      <c r="F236" s="59" t="str">
        <f t="shared" si="25"/>
        <v/>
      </c>
      <c r="G236" s="64"/>
      <c r="H236" s="64"/>
      <c r="I236" s="64"/>
      <c r="J236" s="211"/>
      <c r="K236" s="212"/>
      <c r="L236" s="212"/>
      <c r="M236" s="211"/>
      <c r="N236" s="211"/>
      <c r="P236" t="str">
        <f t="shared" si="26"/>
        <v/>
      </c>
      <c r="Q236" t="str">
        <f t="shared" si="27"/>
        <v/>
      </c>
    </row>
    <row r="237" spans="1:17">
      <c r="A237" s="74"/>
      <c r="B237" s="59" t="str">
        <f t="shared" si="23"/>
        <v/>
      </c>
      <c r="C237" s="74"/>
      <c r="D237" s="59" t="str">
        <f t="shared" si="24"/>
        <v/>
      </c>
      <c r="E237" s="75"/>
      <c r="F237" s="59" t="str">
        <f t="shared" si="25"/>
        <v/>
      </c>
      <c r="G237" s="64"/>
      <c r="H237" s="64"/>
      <c r="I237" s="64"/>
      <c r="J237" s="211"/>
      <c r="K237" s="212"/>
      <c r="L237" s="212"/>
      <c r="M237" s="211"/>
      <c r="N237" s="211"/>
      <c r="P237" t="str">
        <f t="shared" si="26"/>
        <v/>
      </c>
      <c r="Q237" t="str">
        <f t="shared" si="27"/>
        <v/>
      </c>
    </row>
    <row r="238" spans="1:17">
      <c r="A238" s="74"/>
      <c r="B238" s="59" t="str">
        <f t="shared" si="23"/>
        <v/>
      </c>
      <c r="C238" s="74"/>
      <c r="D238" s="59" t="str">
        <f t="shared" si="24"/>
        <v/>
      </c>
      <c r="E238" s="75"/>
      <c r="F238" s="59" t="str">
        <f t="shared" si="25"/>
        <v/>
      </c>
      <c r="G238" s="64"/>
      <c r="H238" s="64"/>
      <c r="I238" s="64"/>
      <c r="J238" s="211"/>
      <c r="K238" s="212"/>
      <c r="L238" s="212"/>
      <c r="M238" s="211"/>
      <c r="N238" s="211"/>
      <c r="P238" t="str">
        <f t="shared" si="26"/>
        <v/>
      </c>
      <c r="Q238" t="str">
        <f t="shared" si="27"/>
        <v/>
      </c>
    </row>
    <row r="239" spans="1:17">
      <c r="A239" s="74"/>
      <c r="B239" s="59" t="str">
        <f t="shared" si="23"/>
        <v/>
      </c>
      <c r="C239" s="74"/>
      <c r="D239" s="59" t="str">
        <f t="shared" si="24"/>
        <v/>
      </c>
      <c r="E239" s="75"/>
      <c r="F239" s="59" t="str">
        <f t="shared" si="25"/>
        <v/>
      </c>
      <c r="G239" s="64"/>
      <c r="H239" s="64"/>
      <c r="I239" s="64"/>
      <c r="J239" s="211"/>
      <c r="K239" s="212"/>
      <c r="L239" s="212"/>
      <c r="M239" s="211"/>
      <c r="N239" s="211"/>
      <c r="P239" t="str">
        <f t="shared" si="26"/>
        <v/>
      </c>
      <c r="Q239" t="str">
        <f t="shared" si="27"/>
        <v/>
      </c>
    </row>
    <row r="240" spans="1:17">
      <c r="A240" s="74"/>
      <c r="B240" s="59" t="str">
        <f t="shared" si="23"/>
        <v/>
      </c>
      <c r="C240" s="74"/>
      <c r="D240" s="59" t="str">
        <f t="shared" si="24"/>
        <v/>
      </c>
      <c r="E240" s="75"/>
      <c r="F240" s="59" t="str">
        <f t="shared" si="25"/>
        <v/>
      </c>
      <c r="G240" s="64"/>
      <c r="H240" s="64"/>
      <c r="I240" s="64"/>
      <c r="J240" s="211"/>
      <c r="K240" s="212"/>
      <c r="L240" s="212"/>
      <c r="M240" s="211"/>
      <c r="N240" s="211"/>
      <c r="P240" t="str">
        <f t="shared" si="26"/>
        <v/>
      </c>
      <c r="Q240" t="str">
        <f t="shared" si="27"/>
        <v/>
      </c>
    </row>
    <row r="241" spans="1:17">
      <c r="A241" s="74"/>
      <c r="B241" s="59" t="str">
        <f t="shared" si="23"/>
        <v/>
      </c>
      <c r="C241" s="74"/>
      <c r="D241" s="59" t="str">
        <f t="shared" si="24"/>
        <v/>
      </c>
      <c r="E241" s="75"/>
      <c r="F241" s="59" t="str">
        <f t="shared" si="25"/>
        <v/>
      </c>
      <c r="G241" s="64"/>
      <c r="H241" s="64"/>
      <c r="I241" s="64"/>
      <c r="J241" s="211"/>
      <c r="K241" s="212"/>
      <c r="L241" s="212"/>
      <c r="M241" s="211"/>
      <c r="N241" s="211"/>
      <c r="P241" t="str">
        <f t="shared" si="26"/>
        <v/>
      </c>
      <c r="Q241" t="str">
        <f t="shared" si="27"/>
        <v/>
      </c>
    </row>
    <row r="242" spans="1:17">
      <c r="A242" s="74"/>
      <c r="B242" s="59" t="str">
        <f t="shared" si="23"/>
        <v/>
      </c>
      <c r="C242" s="74"/>
      <c r="D242" s="59" t="str">
        <f t="shared" si="24"/>
        <v/>
      </c>
      <c r="E242" s="75"/>
      <c r="F242" s="59" t="str">
        <f t="shared" si="25"/>
        <v/>
      </c>
      <c r="G242" s="64"/>
      <c r="H242" s="64"/>
      <c r="I242" s="64"/>
      <c r="J242" s="211"/>
      <c r="K242" s="212"/>
      <c r="L242" s="212"/>
      <c r="M242" s="211"/>
      <c r="N242" s="211"/>
      <c r="P242" t="str">
        <f t="shared" si="26"/>
        <v/>
      </c>
      <c r="Q242" t="str">
        <f t="shared" si="27"/>
        <v/>
      </c>
    </row>
    <row r="243" spans="1:17">
      <c r="A243" s="74"/>
      <c r="B243" s="59" t="str">
        <f t="shared" si="23"/>
        <v/>
      </c>
      <c r="C243" s="74"/>
      <c r="D243" s="59" t="str">
        <f t="shared" si="24"/>
        <v/>
      </c>
      <c r="E243" s="75"/>
      <c r="F243" s="59" t="str">
        <f t="shared" si="25"/>
        <v/>
      </c>
      <c r="G243" s="64"/>
      <c r="H243" s="64"/>
      <c r="I243" s="64"/>
      <c r="J243" s="211"/>
      <c r="K243" s="212"/>
      <c r="L243" s="212"/>
      <c r="M243" s="211"/>
      <c r="N243" s="211"/>
      <c r="P243" t="str">
        <f t="shared" si="26"/>
        <v/>
      </c>
      <c r="Q243" t="str">
        <f t="shared" si="27"/>
        <v/>
      </c>
    </row>
    <row r="244" spans="1:17">
      <c r="A244" s="74"/>
      <c r="B244" s="59" t="str">
        <f t="shared" si="23"/>
        <v/>
      </c>
      <c r="C244" s="74"/>
      <c r="D244" s="59" t="str">
        <f t="shared" si="24"/>
        <v/>
      </c>
      <c r="E244" s="75"/>
      <c r="F244" s="59" t="str">
        <f t="shared" si="25"/>
        <v/>
      </c>
      <c r="G244" s="64"/>
      <c r="H244" s="64"/>
      <c r="I244" s="64"/>
      <c r="J244" s="211"/>
      <c r="K244" s="212"/>
      <c r="L244" s="212"/>
      <c r="M244" s="211"/>
      <c r="N244" s="211"/>
      <c r="P244" t="str">
        <f t="shared" si="26"/>
        <v/>
      </c>
      <c r="Q244" t="str">
        <f t="shared" si="27"/>
        <v/>
      </c>
    </row>
    <row r="245" spans="1:17">
      <c r="A245" s="74"/>
      <c r="B245" s="59" t="str">
        <f t="shared" si="23"/>
        <v/>
      </c>
      <c r="C245" s="74"/>
      <c r="D245" s="59" t="str">
        <f t="shared" si="24"/>
        <v/>
      </c>
      <c r="E245" s="75"/>
      <c r="F245" s="59" t="str">
        <f t="shared" si="25"/>
        <v/>
      </c>
      <c r="G245" s="64"/>
      <c r="H245" s="64"/>
      <c r="I245" s="64"/>
      <c r="J245" s="211"/>
      <c r="K245" s="212"/>
      <c r="L245" s="212"/>
      <c r="M245" s="211"/>
      <c r="N245" s="211"/>
      <c r="P245" t="str">
        <f t="shared" si="26"/>
        <v/>
      </c>
      <c r="Q245" t="str">
        <f t="shared" si="27"/>
        <v/>
      </c>
    </row>
    <row r="246" spans="1:17">
      <c r="A246" s="74"/>
      <c r="B246" s="59" t="str">
        <f t="shared" si="23"/>
        <v/>
      </c>
      <c r="C246" s="74"/>
      <c r="D246" s="59" t="str">
        <f t="shared" si="24"/>
        <v/>
      </c>
      <c r="E246" s="75"/>
      <c r="F246" s="59" t="str">
        <f t="shared" si="25"/>
        <v/>
      </c>
      <c r="G246" s="64"/>
      <c r="H246" s="64"/>
      <c r="I246" s="64"/>
      <c r="J246" s="211"/>
      <c r="K246" s="212"/>
      <c r="L246" s="212"/>
      <c r="M246" s="211"/>
      <c r="N246" s="211"/>
      <c r="P246" t="str">
        <f t="shared" si="26"/>
        <v/>
      </c>
      <c r="Q246" t="str">
        <f t="shared" si="27"/>
        <v/>
      </c>
    </row>
    <row r="247" spans="1:17">
      <c r="A247" s="74"/>
      <c r="B247" s="59" t="str">
        <f t="shared" si="23"/>
        <v/>
      </c>
      <c r="C247" s="74"/>
      <c r="D247" s="59" t="str">
        <f t="shared" si="24"/>
        <v/>
      </c>
      <c r="E247" s="75"/>
      <c r="F247" s="59" t="str">
        <f t="shared" si="25"/>
        <v/>
      </c>
      <c r="G247" s="64"/>
      <c r="H247" s="64"/>
      <c r="I247" s="64"/>
      <c r="J247" s="211"/>
      <c r="K247" s="212"/>
      <c r="L247" s="212"/>
      <c r="M247" s="211"/>
      <c r="N247" s="211"/>
      <c r="P247" t="str">
        <f t="shared" si="26"/>
        <v/>
      </c>
      <c r="Q247" t="str">
        <f t="shared" si="27"/>
        <v/>
      </c>
    </row>
    <row r="248" spans="1:17">
      <c r="A248" s="74"/>
      <c r="B248" s="59" t="str">
        <f t="shared" si="23"/>
        <v/>
      </c>
      <c r="C248" s="74"/>
      <c r="D248" s="59" t="str">
        <f t="shared" si="24"/>
        <v/>
      </c>
      <c r="E248" s="75"/>
      <c r="F248" s="59" t="str">
        <f t="shared" si="25"/>
        <v/>
      </c>
      <c r="G248" s="64"/>
      <c r="H248" s="64"/>
      <c r="I248" s="64"/>
      <c r="J248" s="211"/>
      <c r="K248" s="212"/>
      <c r="L248" s="212"/>
      <c r="M248" s="211"/>
      <c r="N248" s="211"/>
      <c r="P248" t="str">
        <f t="shared" si="26"/>
        <v/>
      </c>
      <c r="Q248" t="str">
        <f t="shared" si="27"/>
        <v/>
      </c>
    </row>
    <row r="249" spans="1:17">
      <c r="A249" s="74"/>
      <c r="B249" s="59" t="str">
        <f t="shared" si="23"/>
        <v/>
      </c>
      <c r="C249" s="74"/>
      <c r="D249" s="59" t="str">
        <f t="shared" si="24"/>
        <v/>
      </c>
      <c r="E249" s="75"/>
      <c r="F249" s="59" t="str">
        <f t="shared" si="25"/>
        <v/>
      </c>
      <c r="G249" s="64"/>
      <c r="H249" s="64"/>
      <c r="I249" s="64"/>
      <c r="J249" s="211"/>
      <c r="K249" s="212"/>
      <c r="L249" s="212"/>
      <c r="M249" s="211"/>
      <c r="N249" s="211"/>
      <c r="P249" t="str">
        <f t="shared" si="26"/>
        <v/>
      </c>
      <c r="Q249" t="str">
        <f t="shared" si="27"/>
        <v/>
      </c>
    </row>
    <row r="250" spans="1:17">
      <c r="A250" s="74"/>
      <c r="B250" s="59" t="str">
        <f t="shared" si="23"/>
        <v/>
      </c>
      <c r="C250" s="74"/>
      <c r="D250" s="59" t="str">
        <f t="shared" si="24"/>
        <v/>
      </c>
      <c r="E250" s="75"/>
      <c r="F250" s="59" t="str">
        <f t="shared" si="25"/>
        <v/>
      </c>
      <c r="G250" s="64"/>
      <c r="H250" s="64"/>
      <c r="I250" s="64"/>
      <c r="J250" s="211"/>
      <c r="K250" s="212"/>
      <c r="L250" s="212"/>
      <c r="M250" s="211"/>
      <c r="N250" s="211"/>
      <c r="P250" t="str">
        <f t="shared" si="26"/>
        <v/>
      </c>
      <c r="Q250" t="str">
        <f t="shared" si="27"/>
        <v/>
      </c>
    </row>
    <row r="251" spans="1:17">
      <c r="A251" s="74"/>
      <c r="B251" s="59" t="str">
        <f t="shared" si="23"/>
        <v/>
      </c>
      <c r="C251" s="74"/>
      <c r="D251" s="59" t="str">
        <f t="shared" si="24"/>
        <v/>
      </c>
      <c r="E251" s="75"/>
      <c r="F251" s="59" t="str">
        <f t="shared" si="25"/>
        <v/>
      </c>
      <c r="G251" s="64"/>
      <c r="H251" s="64"/>
      <c r="I251" s="64"/>
      <c r="J251" s="211"/>
      <c r="K251" s="212"/>
      <c r="L251" s="212"/>
      <c r="M251" s="211"/>
      <c r="N251" s="211"/>
      <c r="P251" t="str">
        <f t="shared" si="26"/>
        <v/>
      </c>
      <c r="Q251" t="str">
        <f t="shared" si="27"/>
        <v/>
      </c>
    </row>
    <row r="252" spans="1:17">
      <c r="A252" s="74"/>
      <c r="B252" s="59" t="str">
        <f t="shared" si="23"/>
        <v/>
      </c>
      <c r="C252" s="74"/>
      <c r="D252" s="59" t="str">
        <f t="shared" si="24"/>
        <v/>
      </c>
      <c r="E252" s="75"/>
      <c r="F252" s="59" t="str">
        <f t="shared" si="25"/>
        <v/>
      </c>
      <c r="G252" s="64"/>
      <c r="H252" s="64"/>
      <c r="I252" s="64"/>
      <c r="J252" s="211"/>
      <c r="K252" s="212"/>
      <c r="L252" s="212"/>
      <c r="M252" s="211"/>
      <c r="N252" s="211"/>
      <c r="P252" t="str">
        <f t="shared" si="26"/>
        <v/>
      </c>
      <c r="Q252" t="str">
        <f t="shared" si="27"/>
        <v/>
      </c>
    </row>
    <row r="253" spans="1:17">
      <c r="A253" s="74"/>
      <c r="B253" s="59" t="str">
        <f t="shared" si="23"/>
        <v/>
      </c>
      <c r="C253" s="74"/>
      <c r="D253" s="59" t="str">
        <f t="shared" si="24"/>
        <v/>
      </c>
      <c r="E253" s="75"/>
      <c r="F253" s="59" t="str">
        <f t="shared" si="25"/>
        <v/>
      </c>
      <c r="G253" s="64"/>
      <c r="H253" s="64"/>
      <c r="I253" s="64"/>
      <c r="J253" s="211"/>
      <c r="K253" s="212"/>
      <c r="L253" s="212"/>
      <c r="M253" s="211"/>
      <c r="N253" s="211"/>
      <c r="P253" t="str">
        <f t="shared" si="26"/>
        <v/>
      </c>
      <c r="Q253" t="str">
        <f t="shared" si="27"/>
        <v/>
      </c>
    </row>
    <row r="254" spans="1:17">
      <c r="A254" s="74"/>
      <c r="B254" s="59" t="str">
        <f t="shared" si="23"/>
        <v/>
      </c>
      <c r="C254" s="74"/>
      <c r="D254" s="59" t="str">
        <f t="shared" si="24"/>
        <v/>
      </c>
      <c r="E254" s="75"/>
      <c r="F254" s="59" t="str">
        <f t="shared" si="25"/>
        <v/>
      </c>
      <c r="G254" s="64"/>
      <c r="H254" s="64"/>
      <c r="I254" s="64"/>
      <c r="J254" s="211"/>
      <c r="K254" s="212"/>
      <c r="L254" s="212"/>
      <c r="M254" s="211"/>
      <c r="N254" s="211"/>
      <c r="P254" t="str">
        <f t="shared" si="26"/>
        <v/>
      </c>
      <c r="Q254" t="str">
        <f t="shared" si="27"/>
        <v/>
      </c>
    </row>
    <row r="255" spans="1:17">
      <c r="A255" s="74"/>
      <c r="B255" s="59" t="str">
        <f t="shared" si="23"/>
        <v/>
      </c>
      <c r="C255" s="74"/>
      <c r="D255" s="59" t="str">
        <f t="shared" si="24"/>
        <v/>
      </c>
      <c r="E255" s="75"/>
      <c r="F255" s="59" t="str">
        <f t="shared" si="25"/>
        <v/>
      </c>
      <c r="G255" s="64"/>
      <c r="H255" s="64"/>
      <c r="I255" s="64"/>
      <c r="J255" s="211"/>
      <c r="K255" s="212"/>
      <c r="L255" s="212"/>
      <c r="M255" s="211"/>
      <c r="N255" s="211"/>
      <c r="P255" t="str">
        <f t="shared" si="26"/>
        <v/>
      </c>
      <c r="Q255" t="str">
        <f t="shared" si="27"/>
        <v/>
      </c>
    </row>
    <row r="256" spans="1:17">
      <c r="A256" s="74"/>
      <c r="B256" s="59" t="str">
        <f t="shared" si="23"/>
        <v/>
      </c>
      <c r="C256" s="74"/>
      <c r="D256" s="59" t="str">
        <f t="shared" si="24"/>
        <v/>
      </c>
      <c r="E256" s="75"/>
      <c r="F256" s="59" t="str">
        <f t="shared" si="25"/>
        <v/>
      </c>
      <c r="G256" s="64"/>
      <c r="H256" s="64"/>
      <c r="I256" s="64"/>
      <c r="J256" s="211"/>
      <c r="K256" s="212"/>
      <c r="L256" s="212"/>
      <c r="M256" s="211"/>
      <c r="N256" s="211"/>
      <c r="P256" t="str">
        <f t="shared" si="26"/>
        <v/>
      </c>
      <c r="Q256" t="str">
        <f t="shared" si="27"/>
        <v/>
      </c>
    </row>
    <row r="257" spans="1:17">
      <c r="A257" s="74"/>
      <c r="B257" s="59" t="str">
        <f t="shared" si="23"/>
        <v/>
      </c>
      <c r="C257" s="74"/>
      <c r="D257" s="59" t="str">
        <f t="shared" si="24"/>
        <v/>
      </c>
      <c r="E257" s="75"/>
      <c r="F257" s="59" t="str">
        <f t="shared" si="25"/>
        <v/>
      </c>
      <c r="G257" s="64"/>
      <c r="H257" s="64"/>
      <c r="I257" s="64"/>
      <c r="J257" s="211"/>
      <c r="K257" s="212"/>
      <c r="L257" s="212"/>
      <c r="M257" s="211"/>
      <c r="N257" s="211"/>
      <c r="P257" t="str">
        <f t="shared" si="26"/>
        <v/>
      </c>
      <c r="Q257" t="str">
        <f t="shared" si="27"/>
        <v/>
      </c>
    </row>
    <row r="258" spans="1:17">
      <c r="A258" s="74"/>
      <c r="B258" s="59" t="str">
        <f t="shared" si="23"/>
        <v/>
      </c>
      <c r="C258" s="74"/>
      <c r="D258" s="59" t="str">
        <f t="shared" si="24"/>
        <v/>
      </c>
      <c r="E258" s="75"/>
      <c r="F258" s="59" t="str">
        <f t="shared" si="25"/>
        <v/>
      </c>
      <c r="G258" s="64"/>
      <c r="H258" s="64"/>
      <c r="I258" s="64"/>
      <c r="J258" s="211"/>
      <c r="K258" s="212"/>
      <c r="L258" s="212"/>
      <c r="M258" s="211"/>
      <c r="N258" s="211"/>
      <c r="P258" t="str">
        <f t="shared" si="26"/>
        <v/>
      </c>
      <c r="Q258" t="str">
        <f t="shared" si="27"/>
        <v/>
      </c>
    </row>
    <row r="259" spans="1:17">
      <c r="A259" s="74"/>
      <c r="B259" s="59" t="str">
        <f t="shared" ref="B259:B322" si="28">IFERROR(VLOOKUP(A259,$R$6:$S$16,2,0),"")</f>
        <v/>
      </c>
      <c r="C259" s="74"/>
      <c r="D259" s="59" t="str">
        <f t="shared" ref="D259:D322" si="29">IFERROR(VLOOKUP(C259,$U$5:$W$129,2,0),"")</f>
        <v/>
      </c>
      <c r="E259" s="75"/>
      <c r="F259" s="59" t="str">
        <f t="shared" ref="F259:F322" si="30">IFERROR(VLOOKUP(E259,$AA$6:$AB$200,2,0),"")</f>
        <v/>
      </c>
      <c r="G259" s="64"/>
      <c r="H259" s="64"/>
      <c r="I259" s="64"/>
      <c r="J259" s="211"/>
      <c r="K259" s="212"/>
      <c r="L259" s="212"/>
      <c r="M259" s="211"/>
      <c r="N259" s="211"/>
      <c r="P259" t="str">
        <f t="shared" ref="P259:P322" si="31">LEFT(C259,3)</f>
        <v/>
      </c>
      <c r="Q259" t="str">
        <f t="shared" ref="Q259:Q322" si="32">LEFT(C259,2)</f>
        <v/>
      </c>
    </row>
    <row r="260" spans="1:17">
      <c r="A260" s="74"/>
      <c r="B260" s="59" t="str">
        <f t="shared" si="28"/>
        <v/>
      </c>
      <c r="C260" s="74"/>
      <c r="D260" s="59" t="str">
        <f t="shared" si="29"/>
        <v/>
      </c>
      <c r="E260" s="75"/>
      <c r="F260" s="59" t="str">
        <f t="shared" si="30"/>
        <v/>
      </c>
      <c r="G260" s="64"/>
      <c r="H260" s="64"/>
      <c r="I260" s="64"/>
      <c r="J260" s="211"/>
      <c r="K260" s="212"/>
      <c r="L260" s="212"/>
      <c r="M260" s="211"/>
      <c r="N260" s="211"/>
      <c r="P260" t="str">
        <f t="shared" si="31"/>
        <v/>
      </c>
      <c r="Q260" t="str">
        <f t="shared" si="32"/>
        <v/>
      </c>
    </row>
    <row r="261" spans="1:17">
      <c r="A261" s="74"/>
      <c r="B261" s="59" t="str">
        <f t="shared" si="28"/>
        <v/>
      </c>
      <c r="C261" s="74"/>
      <c r="D261" s="59" t="str">
        <f t="shared" si="29"/>
        <v/>
      </c>
      <c r="E261" s="75"/>
      <c r="F261" s="59" t="str">
        <f t="shared" si="30"/>
        <v/>
      </c>
      <c r="G261" s="64"/>
      <c r="H261" s="64"/>
      <c r="I261" s="64"/>
      <c r="J261" s="211"/>
      <c r="K261" s="212"/>
      <c r="L261" s="212"/>
      <c r="M261" s="211"/>
      <c r="N261" s="211"/>
      <c r="P261" t="str">
        <f t="shared" si="31"/>
        <v/>
      </c>
      <c r="Q261" t="str">
        <f t="shared" si="32"/>
        <v/>
      </c>
    </row>
    <row r="262" spans="1:17">
      <c r="A262" s="74"/>
      <c r="B262" s="59" t="str">
        <f t="shared" si="28"/>
        <v/>
      </c>
      <c r="C262" s="74"/>
      <c r="D262" s="59" t="str">
        <f t="shared" si="29"/>
        <v/>
      </c>
      <c r="E262" s="75"/>
      <c r="F262" s="59" t="str">
        <f t="shared" si="30"/>
        <v/>
      </c>
      <c r="G262" s="64"/>
      <c r="H262" s="64"/>
      <c r="I262" s="64"/>
      <c r="J262" s="211"/>
      <c r="K262" s="212"/>
      <c r="L262" s="212"/>
      <c r="M262" s="211"/>
      <c r="N262" s="211"/>
      <c r="P262" t="str">
        <f t="shared" si="31"/>
        <v/>
      </c>
      <c r="Q262" t="str">
        <f t="shared" si="32"/>
        <v/>
      </c>
    </row>
    <row r="263" spans="1:17">
      <c r="A263" s="74"/>
      <c r="B263" s="59" t="str">
        <f t="shared" si="28"/>
        <v/>
      </c>
      <c r="C263" s="74"/>
      <c r="D263" s="59" t="str">
        <f t="shared" si="29"/>
        <v/>
      </c>
      <c r="E263" s="75"/>
      <c r="F263" s="59" t="str">
        <f t="shared" si="30"/>
        <v/>
      </c>
      <c r="G263" s="64"/>
      <c r="H263" s="64"/>
      <c r="I263" s="64"/>
      <c r="J263" s="211"/>
      <c r="K263" s="212"/>
      <c r="L263" s="212"/>
      <c r="M263" s="211"/>
      <c r="N263" s="211"/>
      <c r="P263" t="str">
        <f t="shared" si="31"/>
        <v/>
      </c>
      <c r="Q263" t="str">
        <f t="shared" si="32"/>
        <v/>
      </c>
    </row>
    <row r="264" spans="1:17">
      <c r="A264" s="74"/>
      <c r="B264" s="59" t="str">
        <f t="shared" si="28"/>
        <v/>
      </c>
      <c r="C264" s="74"/>
      <c r="D264" s="59" t="str">
        <f t="shared" si="29"/>
        <v/>
      </c>
      <c r="E264" s="75"/>
      <c r="F264" s="59" t="str">
        <f t="shared" si="30"/>
        <v/>
      </c>
      <c r="G264" s="64"/>
      <c r="H264" s="64"/>
      <c r="I264" s="64"/>
      <c r="J264" s="211"/>
      <c r="K264" s="212"/>
      <c r="L264" s="212"/>
      <c r="M264" s="211"/>
      <c r="N264" s="211"/>
      <c r="P264" t="str">
        <f t="shared" si="31"/>
        <v/>
      </c>
      <c r="Q264" t="str">
        <f t="shared" si="32"/>
        <v/>
      </c>
    </row>
    <row r="265" spans="1:17">
      <c r="A265" s="74"/>
      <c r="B265" s="59" t="str">
        <f t="shared" si="28"/>
        <v/>
      </c>
      <c r="C265" s="74"/>
      <c r="D265" s="59" t="str">
        <f t="shared" si="29"/>
        <v/>
      </c>
      <c r="E265" s="75"/>
      <c r="F265" s="59" t="str">
        <f t="shared" si="30"/>
        <v/>
      </c>
      <c r="G265" s="64"/>
      <c r="H265" s="64"/>
      <c r="I265" s="64"/>
      <c r="J265" s="211"/>
      <c r="K265" s="212"/>
      <c r="L265" s="212"/>
      <c r="M265" s="211"/>
      <c r="N265" s="211"/>
      <c r="P265" t="str">
        <f t="shared" si="31"/>
        <v/>
      </c>
      <c r="Q265" t="str">
        <f t="shared" si="32"/>
        <v/>
      </c>
    </row>
    <row r="266" spans="1:17">
      <c r="A266" s="74"/>
      <c r="B266" s="59" t="str">
        <f t="shared" si="28"/>
        <v/>
      </c>
      <c r="C266" s="74"/>
      <c r="D266" s="59" t="str">
        <f t="shared" si="29"/>
        <v/>
      </c>
      <c r="E266" s="75"/>
      <c r="F266" s="59" t="str">
        <f t="shared" si="30"/>
        <v/>
      </c>
      <c r="G266" s="64"/>
      <c r="H266" s="64"/>
      <c r="I266" s="64"/>
      <c r="J266" s="211"/>
      <c r="K266" s="212"/>
      <c r="L266" s="212"/>
      <c r="M266" s="211"/>
      <c r="N266" s="211"/>
      <c r="P266" t="str">
        <f t="shared" si="31"/>
        <v/>
      </c>
      <c r="Q266" t="str">
        <f t="shared" si="32"/>
        <v/>
      </c>
    </row>
    <row r="267" spans="1:17">
      <c r="A267" s="74"/>
      <c r="B267" s="59" t="str">
        <f t="shared" si="28"/>
        <v/>
      </c>
      <c r="C267" s="74"/>
      <c r="D267" s="59" t="str">
        <f t="shared" si="29"/>
        <v/>
      </c>
      <c r="E267" s="75"/>
      <c r="F267" s="59" t="str">
        <f t="shared" si="30"/>
        <v/>
      </c>
      <c r="G267" s="64"/>
      <c r="H267" s="64"/>
      <c r="I267" s="64"/>
      <c r="J267" s="211"/>
      <c r="K267" s="212"/>
      <c r="L267" s="212"/>
      <c r="M267" s="211"/>
      <c r="N267" s="211"/>
      <c r="P267" t="str">
        <f t="shared" si="31"/>
        <v/>
      </c>
      <c r="Q267" t="str">
        <f t="shared" si="32"/>
        <v/>
      </c>
    </row>
    <row r="268" spans="1:17">
      <c r="A268" s="74"/>
      <c r="B268" s="59" t="str">
        <f t="shared" si="28"/>
        <v/>
      </c>
      <c r="C268" s="74"/>
      <c r="D268" s="59" t="str">
        <f t="shared" si="29"/>
        <v/>
      </c>
      <c r="E268" s="75"/>
      <c r="F268" s="59" t="str">
        <f t="shared" si="30"/>
        <v/>
      </c>
      <c r="G268" s="64"/>
      <c r="H268" s="64"/>
      <c r="I268" s="64"/>
      <c r="J268" s="211"/>
      <c r="K268" s="212"/>
      <c r="L268" s="212"/>
      <c r="M268" s="211"/>
      <c r="N268" s="211"/>
      <c r="P268" t="str">
        <f t="shared" si="31"/>
        <v/>
      </c>
      <c r="Q268" t="str">
        <f t="shared" si="32"/>
        <v/>
      </c>
    </row>
    <row r="269" spans="1:17">
      <c r="A269" s="74"/>
      <c r="B269" s="59" t="str">
        <f t="shared" si="28"/>
        <v/>
      </c>
      <c r="C269" s="74"/>
      <c r="D269" s="59" t="str">
        <f t="shared" si="29"/>
        <v/>
      </c>
      <c r="E269" s="75"/>
      <c r="F269" s="59" t="str">
        <f t="shared" si="30"/>
        <v/>
      </c>
      <c r="G269" s="64"/>
      <c r="H269" s="64"/>
      <c r="I269" s="64"/>
      <c r="J269" s="211"/>
      <c r="K269" s="212"/>
      <c r="L269" s="212"/>
      <c r="M269" s="211"/>
      <c r="N269" s="211"/>
      <c r="P269" t="str">
        <f t="shared" si="31"/>
        <v/>
      </c>
      <c r="Q269" t="str">
        <f t="shared" si="32"/>
        <v/>
      </c>
    </row>
    <row r="270" spans="1:17">
      <c r="A270" s="74"/>
      <c r="B270" s="59" t="str">
        <f t="shared" si="28"/>
        <v/>
      </c>
      <c r="C270" s="74"/>
      <c r="D270" s="59" t="str">
        <f t="shared" si="29"/>
        <v/>
      </c>
      <c r="E270" s="75"/>
      <c r="F270" s="59" t="str">
        <f t="shared" si="30"/>
        <v/>
      </c>
      <c r="G270" s="64"/>
      <c r="H270" s="64"/>
      <c r="I270" s="64"/>
      <c r="J270" s="211"/>
      <c r="K270" s="212"/>
      <c r="L270" s="212"/>
      <c r="M270" s="211"/>
      <c r="N270" s="211"/>
      <c r="P270" t="str">
        <f t="shared" si="31"/>
        <v/>
      </c>
      <c r="Q270" t="str">
        <f t="shared" si="32"/>
        <v/>
      </c>
    </row>
    <row r="271" spans="1:17">
      <c r="A271" s="74"/>
      <c r="B271" s="59" t="str">
        <f t="shared" si="28"/>
        <v/>
      </c>
      <c r="C271" s="74"/>
      <c r="D271" s="59" t="str">
        <f t="shared" si="29"/>
        <v/>
      </c>
      <c r="E271" s="75"/>
      <c r="F271" s="59" t="str">
        <f t="shared" si="30"/>
        <v/>
      </c>
      <c r="G271" s="64"/>
      <c r="H271" s="64"/>
      <c r="I271" s="64"/>
      <c r="J271" s="211"/>
      <c r="K271" s="212"/>
      <c r="L271" s="212"/>
      <c r="M271" s="211"/>
      <c r="N271" s="211"/>
      <c r="P271" t="str">
        <f t="shared" si="31"/>
        <v/>
      </c>
      <c r="Q271" t="str">
        <f t="shared" si="32"/>
        <v/>
      </c>
    </row>
    <row r="272" spans="1:17">
      <c r="A272" s="74"/>
      <c r="B272" s="59" t="str">
        <f t="shared" si="28"/>
        <v/>
      </c>
      <c r="C272" s="74"/>
      <c r="D272" s="59" t="str">
        <f t="shared" si="29"/>
        <v/>
      </c>
      <c r="E272" s="75"/>
      <c r="F272" s="59" t="str">
        <f t="shared" si="30"/>
        <v/>
      </c>
      <c r="G272" s="64"/>
      <c r="H272" s="64"/>
      <c r="I272" s="64"/>
      <c r="J272" s="211"/>
      <c r="K272" s="212"/>
      <c r="L272" s="212"/>
      <c r="M272" s="211"/>
      <c r="N272" s="211"/>
      <c r="P272" t="str">
        <f t="shared" si="31"/>
        <v/>
      </c>
      <c r="Q272" t="str">
        <f t="shared" si="32"/>
        <v/>
      </c>
    </row>
    <row r="273" spans="1:17">
      <c r="A273" s="74"/>
      <c r="B273" s="59" t="str">
        <f t="shared" si="28"/>
        <v/>
      </c>
      <c r="C273" s="74"/>
      <c r="D273" s="59" t="str">
        <f t="shared" si="29"/>
        <v/>
      </c>
      <c r="E273" s="75"/>
      <c r="F273" s="59" t="str">
        <f t="shared" si="30"/>
        <v/>
      </c>
      <c r="G273" s="64"/>
      <c r="H273" s="64"/>
      <c r="I273" s="64"/>
      <c r="J273" s="211"/>
      <c r="K273" s="212"/>
      <c r="L273" s="212"/>
      <c r="M273" s="211"/>
      <c r="N273" s="211"/>
      <c r="P273" t="str">
        <f t="shared" si="31"/>
        <v/>
      </c>
      <c r="Q273" t="str">
        <f t="shared" si="32"/>
        <v/>
      </c>
    </row>
    <row r="274" spans="1:17">
      <c r="A274" s="74"/>
      <c r="B274" s="59" t="str">
        <f t="shared" si="28"/>
        <v/>
      </c>
      <c r="C274" s="74"/>
      <c r="D274" s="59" t="str">
        <f t="shared" si="29"/>
        <v/>
      </c>
      <c r="E274" s="75"/>
      <c r="F274" s="59" t="str">
        <f t="shared" si="30"/>
        <v/>
      </c>
      <c r="G274" s="64"/>
      <c r="H274" s="64"/>
      <c r="I274" s="64"/>
      <c r="J274" s="211"/>
      <c r="K274" s="212"/>
      <c r="L274" s="212"/>
      <c r="M274" s="211"/>
      <c r="N274" s="211"/>
      <c r="P274" t="str">
        <f t="shared" si="31"/>
        <v/>
      </c>
      <c r="Q274" t="str">
        <f t="shared" si="32"/>
        <v/>
      </c>
    </row>
    <row r="275" spans="1:17">
      <c r="A275" s="74"/>
      <c r="B275" s="59" t="str">
        <f t="shared" si="28"/>
        <v/>
      </c>
      <c r="C275" s="74"/>
      <c r="D275" s="59" t="str">
        <f t="shared" si="29"/>
        <v/>
      </c>
      <c r="E275" s="75"/>
      <c r="F275" s="59" t="str">
        <f t="shared" si="30"/>
        <v/>
      </c>
      <c r="G275" s="64"/>
      <c r="H275" s="64"/>
      <c r="I275" s="64"/>
      <c r="J275" s="211"/>
      <c r="K275" s="212"/>
      <c r="L275" s="212"/>
      <c r="M275" s="211"/>
      <c r="N275" s="211"/>
      <c r="P275" t="str">
        <f t="shared" si="31"/>
        <v/>
      </c>
      <c r="Q275" t="str">
        <f t="shared" si="32"/>
        <v/>
      </c>
    </row>
    <row r="276" spans="1:17">
      <c r="A276" s="74"/>
      <c r="B276" s="59" t="str">
        <f t="shared" si="28"/>
        <v/>
      </c>
      <c r="C276" s="74"/>
      <c r="D276" s="59" t="str">
        <f t="shared" si="29"/>
        <v/>
      </c>
      <c r="E276" s="75"/>
      <c r="F276" s="59" t="str">
        <f t="shared" si="30"/>
        <v/>
      </c>
      <c r="G276" s="64"/>
      <c r="H276" s="64"/>
      <c r="I276" s="64"/>
      <c r="J276" s="211"/>
      <c r="K276" s="212"/>
      <c r="L276" s="212"/>
      <c r="M276" s="211"/>
      <c r="N276" s="211"/>
      <c r="P276" t="str">
        <f t="shared" si="31"/>
        <v/>
      </c>
      <c r="Q276" t="str">
        <f t="shared" si="32"/>
        <v/>
      </c>
    </row>
    <row r="277" spans="1:17">
      <c r="A277" s="74"/>
      <c r="B277" s="59" t="str">
        <f t="shared" si="28"/>
        <v/>
      </c>
      <c r="C277" s="74"/>
      <c r="D277" s="59" t="str">
        <f t="shared" si="29"/>
        <v/>
      </c>
      <c r="E277" s="75"/>
      <c r="F277" s="59" t="str">
        <f t="shared" si="30"/>
        <v/>
      </c>
      <c r="G277" s="64"/>
      <c r="H277" s="64"/>
      <c r="I277" s="64"/>
      <c r="J277" s="211"/>
      <c r="K277" s="212"/>
      <c r="L277" s="212"/>
      <c r="M277" s="211"/>
      <c r="N277" s="211"/>
      <c r="P277" t="str">
        <f t="shared" si="31"/>
        <v/>
      </c>
      <c r="Q277" t="str">
        <f t="shared" si="32"/>
        <v/>
      </c>
    </row>
    <row r="278" spans="1:17">
      <c r="A278" s="74"/>
      <c r="B278" s="59" t="str">
        <f t="shared" si="28"/>
        <v/>
      </c>
      <c r="C278" s="74"/>
      <c r="D278" s="59" t="str">
        <f t="shared" si="29"/>
        <v/>
      </c>
      <c r="E278" s="75"/>
      <c r="F278" s="59" t="str">
        <f t="shared" si="30"/>
        <v/>
      </c>
      <c r="G278" s="64"/>
      <c r="H278" s="64"/>
      <c r="I278" s="64"/>
      <c r="J278" s="211"/>
      <c r="K278" s="212"/>
      <c r="L278" s="212"/>
      <c r="M278" s="211"/>
      <c r="N278" s="211"/>
      <c r="P278" t="str">
        <f t="shared" si="31"/>
        <v/>
      </c>
      <c r="Q278" t="str">
        <f t="shared" si="32"/>
        <v/>
      </c>
    </row>
    <row r="279" spans="1:17">
      <c r="A279" s="74"/>
      <c r="B279" s="59" t="str">
        <f t="shared" si="28"/>
        <v/>
      </c>
      <c r="C279" s="74"/>
      <c r="D279" s="59" t="str">
        <f t="shared" si="29"/>
        <v/>
      </c>
      <c r="E279" s="75"/>
      <c r="F279" s="59" t="str">
        <f t="shared" si="30"/>
        <v/>
      </c>
      <c r="G279" s="64"/>
      <c r="H279" s="64"/>
      <c r="I279" s="64"/>
      <c r="J279" s="211"/>
      <c r="K279" s="212"/>
      <c r="L279" s="212"/>
      <c r="M279" s="211"/>
      <c r="N279" s="211"/>
      <c r="P279" t="str">
        <f t="shared" si="31"/>
        <v/>
      </c>
      <c r="Q279" t="str">
        <f t="shared" si="32"/>
        <v/>
      </c>
    </row>
    <row r="280" spans="1:17">
      <c r="A280" s="74"/>
      <c r="B280" s="59" t="str">
        <f t="shared" si="28"/>
        <v/>
      </c>
      <c r="C280" s="74"/>
      <c r="D280" s="59" t="str">
        <f t="shared" si="29"/>
        <v/>
      </c>
      <c r="E280" s="75"/>
      <c r="F280" s="59" t="str">
        <f t="shared" si="30"/>
        <v/>
      </c>
      <c r="G280" s="64"/>
      <c r="H280" s="64"/>
      <c r="I280" s="64"/>
      <c r="J280" s="211"/>
      <c r="K280" s="212"/>
      <c r="L280" s="212"/>
      <c r="M280" s="211"/>
      <c r="N280" s="211"/>
      <c r="P280" t="str">
        <f t="shared" si="31"/>
        <v/>
      </c>
      <c r="Q280" t="str">
        <f t="shared" si="32"/>
        <v/>
      </c>
    </row>
    <row r="281" spans="1:17">
      <c r="A281" s="74"/>
      <c r="B281" s="59" t="str">
        <f t="shared" si="28"/>
        <v/>
      </c>
      <c r="C281" s="74"/>
      <c r="D281" s="59" t="str">
        <f t="shared" si="29"/>
        <v/>
      </c>
      <c r="E281" s="75"/>
      <c r="F281" s="59" t="str">
        <f t="shared" si="30"/>
        <v/>
      </c>
      <c r="G281" s="64"/>
      <c r="H281" s="64"/>
      <c r="I281" s="64"/>
      <c r="J281" s="211"/>
      <c r="K281" s="212"/>
      <c r="L281" s="212"/>
      <c r="M281" s="211"/>
      <c r="N281" s="211"/>
      <c r="P281" t="str">
        <f t="shared" si="31"/>
        <v/>
      </c>
      <c r="Q281" t="str">
        <f t="shared" si="32"/>
        <v/>
      </c>
    </row>
    <row r="282" spans="1:17">
      <c r="A282" s="74"/>
      <c r="B282" s="59" t="str">
        <f t="shared" si="28"/>
        <v/>
      </c>
      <c r="C282" s="74"/>
      <c r="D282" s="59" t="str">
        <f t="shared" si="29"/>
        <v/>
      </c>
      <c r="E282" s="75"/>
      <c r="F282" s="59" t="str">
        <f t="shared" si="30"/>
        <v/>
      </c>
      <c r="G282" s="64"/>
      <c r="H282" s="64"/>
      <c r="I282" s="64"/>
      <c r="J282" s="211"/>
      <c r="K282" s="212"/>
      <c r="L282" s="212"/>
      <c r="M282" s="211"/>
      <c r="N282" s="211"/>
      <c r="P282" t="str">
        <f t="shared" si="31"/>
        <v/>
      </c>
      <c r="Q282" t="str">
        <f t="shared" si="32"/>
        <v/>
      </c>
    </row>
    <row r="283" spans="1:17">
      <c r="A283" s="74"/>
      <c r="B283" s="59" t="str">
        <f t="shared" si="28"/>
        <v/>
      </c>
      <c r="C283" s="74"/>
      <c r="D283" s="59" t="str">
        <f t="shared" si="29"/>
        <v/>
      </c>
      <c r="E283" s="75"/>
      <c r="F283" s="59" t="str">
        <f t="shared" si="30"/>
        <v/>
      </c>
      <c r="G283" s="64"/>
      <c r="H283" s="64"/>
      <c r="I283" s="64"/>
      <c r="J283" s="211"/>
      <c r="K283" s="212"/>
      <c r="L283" s="212"/>
      <c r="M283" s="211"/>
      <c r="N283" s="211"/>
      <c r="P283" t="str">
        <f t="shared" si="31"/>
        <v/>
      </c>
      <c r="Q283" t="str">
        <f t="shared" si="32"/>
        <v/>
      </c>
    </row>
    <row r="284" spans="1:17">
      <c r="A284" s="74"/>
      <c r="B284" s="59" t="str">
        <f t="shared" si="28"/>
        <v/>
      </c>
      <c r="C284" s="74"/>
      <c r="D284" s="59" t="str">
        <f t="shared" si="29"/>
        <v/>
      </c>
      <c r="E284" s="75"/>
      <c r="F284" s="59" t="str">
        <f t="shared" si="30"/>
        <v/>
      </c>
      <c r="G284" s="64"/>
      <c r="H284" s="64"/>
      <c r="I284" s="64"/>
      <c r="J284" s="211"/>
      <c r="K284" s="212"/>
      <c r="L284" s="212"/>
      <c r="M284" s="211"/>
      <c r="N284" s="211"/>
      <c r="P284" t="str">
        <f t="shared" si="31"/>
        <v/>
      </c>
      <c r="Q284" t="str">
        <f t="shared" si="32"/>
        <v/>
      </c>
    </row>
    <row r="285" spans="1:17">
      <c r="A285" s="74"/>
      <c r="B285" s="59" t="str">
        <f t="shared" si="28"/>
        <v/>
      </c>
      <c r="C285" s="74"/>
      <c r="D285" s="59" t="str">
        <f t="shared" si="29"/>
        <v/>
      </c>
      <c r="E285" s="75"/>
      <c r="F285" s="59" t="str">
        <f t="shared" si="30"/>
        <v/>
      </c>
      <c r="G285" s="64"/>
      <c r="H285" s="64"/>
      <c r="I285" s="64"/>
      <c r="J285" s="211"/>
      <c r="K285" s="212"/>
      <c r="L285" s="212"/>
      <c r="M285" s="211"/>
      <c r="N285" s="211"/>
      <c r="P285" t="str">
        <f t="shared" si="31"/>
        <v/>
      </c>
      <c r="Q285" t="str">
        <f t="shared" si="32"/>
        <v/>
      </c>
    </row>
    <row r="286" spans="1:17">
      <c r="A286" s="74"/>
      <c r="B286" s="59" t="str">
        <f t="shared" si="28"/>
        <v/>
      </c>
      <c r="C286" s="74"/>
      <c r="D286" s="59" t="str">
        <f t="shared" si="29"/>
        <v/>
      </c>
      <c r="E286" s="75"/>
      <c r="F286" s="59" t="str">
        <f t="shared" si="30"/>
        <v/>
      </c>
      <c r="G286" s="64"/>
      <c r="H286" s="64"/>
      <c r="I286" s="64"/>
      <c r="J286" s="211"/>
      <c r="K286" s="212"/>
      <c r="L286" s="212"/>
      <c r="M286" s="211"/>
      <c r="N286" s="211"/>
      <c r="P286" t="str">
        <f t="shared" si="31"/>
        <v/>
      </c>
      <c r="Q286" t="str">
        <f t="shared" si="32"/>
        <v/>
      </c>
    </row>
    <row r="287" spans="1:17">
      <c r="A287" s="74"/>
      <c r="B287" s="59" t="str">
        <f t="shared" si="28"/>
        <v/>
      </c>
      <c r="C287" s="74"/>
      <c r="D287" s="59" t="str">
        <f t="shared" si="29"/>
        <v/>
      </c>
      <c r="E287" s="75"/>
      <c r="F287" s="59" t="str">
        <f t="shared" si="30"/>
        <v/>
      </c>
      <c r="G287" s="64"/>
      <c r="H287" s="64"/>
      <c r="I287" s="64"/>
      <c r="J287" s="211"/>
      <c r="K287" s="212"/>
      <c r="L287" s="212"/>
      <c r="M287" s="211"/>
      <c r="N287" s="211"/>
      <c r="P287" t="str">
        <f t="shared" si="31"/>
        <v/>
      </c>
      <c r="Q287" t="str">
        <f t="shared" si="32"/>
        <v/>
      </c>
    </row>
    <row r="288" spans="1:17">
      <c r="A288" s="74"/>
      <c r="B288" s="59" t="str">
        <f t="shared" si="28"/>
        <v/>
      </c>
      <c r="C288" s="74"/>
      <c r="D288" s="59" t="str">
        <f t="shared" si="29"/>
        <v/>
      </c>
      <c r="E288" s="75"/>
      <c r="F288" s="59" t="str">
        <f t="shared" si="30"/>
        <v/>
      </c>
      <c r="G288" s="64"/>
      <c r="H288" s="64"/>
      <c r="I288" s="64"/>
      <c r="J288" s="211"/>
      <c r="K288" s="212"/>
      <c r="L288" s="212"/>
      <c r="M288" s="211"/>
      <c r="N288" s="211"/>
      <c r="P288" t="str">
        <f t="shared" si="31"/>
        <v/>
      </c>
      <c r="Q288" t="str">
        <f t="shared" si="32"/>
        <v/>
      </c>
    </row>
    <row r="289" spans="1:17">
      <c r="A289" s="74"/>
      <c r="B289" s="59" t="str">
        <f t="shared" si="28"/>
        <v/>
      </c>
      <c r="C289" s="74"/>
      <c r="D289" s="59" t="str">
        <f t="shared" si="29"/>
        <v/>
      </c>
      <c r="E289" s="75"/>
      <c r="F289" s="59" t="str">
        <f t="shared" si="30"/>
        <v/>
      </c>
      <c r="G289" s="64"/>
      <c r="H289" s="64"/>
      <c r="I289" s="64"/>
      <c r="J289" s="211"/>
      <c r="K289" s="212"/>
      <c r="L289" s="212"/>
      <c r="M289" s="211"/>
      <c r="N289" s="211"/>
      <c r="P289" t="str">
        <f t="shared" si="31"/>
        <v/>
      </c>
      <c r="Q289" t="str">
        <f t="shared" si="32"/>
        <v/>
      </c>
    </row>
    <row r="290" spans="1:17">
      <c r="A290" s="74"/>
      <c r="B290" s="59" t="str">
        <f t="shared" si="28"/>
        <v/>
      </c>
      <c r="C290" s="74"/>
      <c r="D290" s="59" t="str">
        <f t="shared" si="29"/>
        <v/>
      </c>
      <c r="E290" s="75"/>
      <c r="F290" s="59" t="str">
        <f t="shared" si="30"/>
        <v/>
      </c>
      <c r="G290" s="64"/>
      <c r="H290" s="64"/>
      <c r="I290" s="64"/>
      <c r="J290" s="211"/>
      <c r="K290" s="212"/>
      <c r="L290" s="212"/>
      <c r="M290" s="211"/>
      <c r="N290" s="211"/>
      <c r="P290" t="str">
        <f t="shared" si="31"/>
        <v/>
      </c>
      <c r="Q290" t="str">
        <f t="shared" si="32"/>
        <v/>
      </c>
    </row>
    <row r="291" spans="1:17">
      <c r="A291" s="74"/>
      <c r="B291" s="59" t="str">
        <f t="shared" si="28"/>
        <v/>
      </c>
      <c r="C291" s="74"/>
      <c r="D291" s="59" t="str">
        <f t="shared" si="29"/>
        <v/>
      </c>
      <c r="E291" s="75"/>
      <c r="F291" s="59" t="str">
        <f t="shared" si="30"/>
        <v/>
      </c>
      <c r="G291" s="64"/>
      <c r="H291" s="64"/>
      <c r="I291" s="64"/>
      <c r="J291" s="211"/>
      <c r="K291" s="212"/>
      <c r="L291" s="212"/>
      <c r="M291" s="211"/>
      <c r="N291" s="211"/>
      <c r="P291" t="str">
        <f t="shared" si="31"/>
        <v/>
      </c>
      <c r="Q291" t="str">
        <f t="shared" si="32"/>
        <v/>
      </c>
    </row>
    <row r="292" spans="1:17">
      <c r="A292" s="74"/>
      <c r="B292" s="59" t="str">
        <f t="shared" si="28"/>
        <v/>
      </c>
      <c r="C292" s="74"/>
      <c r="D292" s="59" t="str">
        <f t="shared" si="29"/>
        <v/>
      </c>
      <c r="E292" s="75"/>
      <c r="F292" s="59" t="str">
        <f t="shared" si="30"/>
        <v/>
      </c>
      <c r="G292" s="64"/>
      <c r="H292" s="64"/>
      <c r="I292" s="64"/>
      <c r="J292" s="211"/>
      <c r="K292" s="212"/>
      <c r="L292" s="212"/>
      <c r="M292" s="211"/>
      <c r="N292" s="211"/>
      <c r="P292" t="str">
        <f t="shared" si="31"/>
        <v/>
      </c>
      <c r="Q292" t="str">
        <f t="shared" si="32"/>
        <v/>
      </c>
    </row>
    <row r="293" spans="1:17">
      <c r="A293" s="74"/>
      <c r="B293" s="59" t="str">
        <f t="shared" si="28"/>
        <v/>
      </c>
      <c r="C293" s="74"/>
      <c r="D293" s="59" t="str">
        <f t="shared" si="29"/>
        <v/>
      </c>
      <c r="E293" s="75"/>
      <c r="F293" s="59" t="str">
        <f t="shared" si="30"/>
        <v/>
      </c>
      <c r="G293" s="64"/>
      <c r="H293" s="64"/>
      <c r="I293" s="64"/>
      <c r="J293" s="211"/>
      <c r="K293" s="212"/>
      <c r="L293" s="212"/>
      <c r="M293" s="211"/>
      <c r="N293" s="211"/>
      <c r="P293" t="str">
        <f t="shared" si="31"/>
        <v/>
      </c>
      <c r="Q293" t="str">
        <f t="shared" si="32"/>
        <v/>
      </c>
    </row>
    <row r="294" spans="1:17">
      <c r="A294" s="74"/>
      <c r="B294" s="59" t="str">
        <f t="shared" si="28"/>
        <v/>
      </c>
      <c r="C294" s="74"/>
      <c r="D294" s="59" t="str">
        <f t="shared" si="29"/>
        <v/>
      </c>
      <c r="E294" s="75"/>
      <c r="F294" s="59" t="str">
        <f t="shared" si="30"/>
        <v/>
      </c>
      <c r="G294" s="64"/>
      <c r="H294" s="64"/>
      <c r="I294" s="64"/>
      <c r="J294" s="211"/>
      <c r="K294" s="212"/>
      <c r="L294" s="212"/>
      <c r="M294" s="211"/>
      <c r="N294" s="211"/>
      <c r="P294" t="str">
        <f t="shared" si="31"/>
        <v/>
      </c>
      <c r="Q294" t="str">
        <f t="shared" si="32"/>
        <v/>
      </c>
    </row>
    <row r="295" spans="1:17">
      <c r="A295" s="74"/>
      <c r="B295" s="59" t="str">
        <f t="shared" si="28"/>
        <v/>
      </c>
      <c r="C295" s="74"/>
      <c r="D295" s="59" t="str">
        <f t="shared" si="29"/>
        <v/>
      </c>
      <c r="E295" s="75"/>
      <c r="F295" s="59" t="str">
        <f t="shared" si="30"/>
        <v/>
      </c>
      <c r="G295" s="64"/>
      <c r="H295" s="64"/>
      <c r="I295" s="64"/>
      <c r="J295" s="211"/>
      <c r="K295" s="212"/>
      <c r="L295" s="212"/>
      <c r="M295" s="211"/>
      <c r="N295" s="211"/>
      <c r="P295" t="str">
        <f t="shared" si="31"/>
        <v/>
      </c>
      <c r="Q295" t="str">
        <f t="shared" si="32"/>
        <v/>
      </c>
    </row>
    <row r="296" spans="1:17">
      <c r="A296" s="74"/>
      <c r="B296" s="59" t="str">
        <f t="shared" si="28"/>
        <v/>
      </c>
      <c r="C296" s="74"/>
      <c r="D296" s="59" t="str">
        <f t="shared" si="29"/>
        <v/>
      </c>
      <c r="E296" s="75"/>
      <c r="F296" s="59" t="str">
        <f t="shared" si="30"/>
        <v/>
      </c>
      <c r="G296" s="64"/>
      <c r="H296" s="64"/>
      <c r="I296" s="64"/>
      <c r="J296" s="211"/>
      <c r="K296" s="212"/>
      <c r="L296" s="212"/>
      <c r="M296" s="211"/>
      <c r="N296" s="211"/>
      <c r="P296" t="str">
        <f t="shared" si="31"/>
        <v/>
      </c>
      <c r="Q296" t="str">
        <f t="shared" si="32"/>
        <v/>
      </c>
    </row>
    <row r="297" spans="1:17">
      <c r="A297" s="74"/>
      <c r="B297" s="59" t="str">
        <f t="shared" si="28"/>
        <v/>
      </c>
      <c r="C297" s="74"/>
      <c r="D297" s="59" t="str">
        <f t="shared" si="29"/>
        <v/>
      </c>
      <c r="E297" s="75"/>
      <c r="F297" s="59" t="str">
        <f t="shared" si="30"/>
        <v/>
      </c>
      <c r="G297" s="64"/>
      <c r="H297" s="64"/>
      <c r="I297" s="64"/>
      <c r="J297" s="211"/>
      <c r="K297" s="212"/>
      <c r="L297" s="212"/>
      <c r="M297" s="211"/>
      <c r="N297" s="211"/>
      <c r="P297" t="str">
        <f t="shared" si="31"/>
        <v/>
      </c>
      <c r="Q297" t="str">
        <f t="shared" si="32"/>
        <v/>
      </c>
    </row>
    <row r="298" spans="1:17">
      <c r="A298" s="74"/>
      <c r="B298" s="59" t="str">
        <f t="shared" si="28"/>
        <v/>
      </c>
      <c r="C298" s="74"/>
      <c r="D298" s="59" t="str">
        <f t="shared" si="29"/>
        <v/>
      </c>
      <c r="E298" s="75"/>
      <c r="F298" s="59" t="str">
        <f t="shared" si="30"/>
        <v/>
      </c>
      <c r="G298" s="64"/>
      <c r="H298" s="64"/>
      <c r="I298" s="64"/>
      <c r="J298" s="211"/>
      <c r="K298" s="212"/>
      <c r="L298" s="212"/>
      <c r="M298" s="211"/>
      <c r="N298" s="211"/>
      <c r="P298" t="str">
        <f t="shared" si="31"/>
        <v/>
      </c>
      <c r="Q298" t="str">
        <f t="shared" si="32"/>
        <v/>
      </c>
    </row>
    <row r="299" spans="1:17">
      <c r="A299" s="74"/>
      <c r="B299" s="59" t="str">
        <f t="shared" si="28"/>
        <v/>
      </c>
      <c r="C299" s="74"/>
      <c r="D299" s="59" t="str">
        <f t="shared" si="29"/>
        <v/>
      </c>
      <c r="E299" s="75"/>
      <c r="F299" s="59" t="str">
        <f t="shared" si="30"/>
        <v/>
      </c>
      <c r="G299" s="64"/>
      <c r="H299" s="64"/>
      <c r="I299" s="64"/>
      <c r="J299" s="211"/>
      <c r="K299" s="212"/>
      <c r="L299" s="212"/>
      <c r="M299" s="211"/>
      <c r="N299" s="211"/>
      <c r="P299" t="str">
        <f t="shared" si="31"/>
        <v/>
      </c>
      <c r="Q299" t="str">
        <f t="shared" si="32"/>
        <v/>
      </c>
    </row>
    <row r="300" spans="1:17">
      <c r="A300" s="74"/>
      <c r="B300" s="59" t="str">
        <f t="shared" si="28"/>
        <v/>
      </c>
      <c r="C300" s="74"/>
      <c r="D300" s="59" t="str">
        <f t="shared" si="29"/>
        <v/>
      </c>
      <c r="E300" s="75"/>
      <c r="F300" s="59" t="str">
        <f t="shared" si="30"/>
        <v/>
      </c>
      <c r="G300" s="64"/>
      <c r="H300" s="64"/>
      <c r="I300" s="64"/>
      <c r="J300" s="211"/>
      <c r="K300" s="212"/>
      <c r="L300" s="212"/>
      <c r="M300" s="211"/>
      <c r="N300" s="211"/>
      <c r="P300" t="str">
        <f t="shared" si="31"/>
        <v/>
      </c>
      <c r="Q300" t="str">
        <f t="shared" si="32"/>
        <v/>
      </c>
    </row>
    <row r="301" spans="1:17">
      <c r="A301" s="74"/>
      <c r="B301" s="59" t="str">
        <f t="shared" si="28"/>
        <v/>
      </c>
      <c r="C301" s="74"/>
      <c r="D301" s="59" t="str">
        <f t="shared" si="29"/>
        <v/>
      </c>
      <c r="E301" s="75"/>
      <c r="F301" s="59" t="str">
        <f t="shared" si="30"/>
        <v/>
      </c>
      <c r="G301" s="64"/>
      <c r="H301" s="64"/>
      <c r="I301" s="64"/>
      <c r="J301" s="211"/>
      <c r="K301" s="212"/>
      <c r="L301" s="212"/>
      <c r="M301" s="211"/>
      <c r="N301" s="211"/>
      <c r="P301" t="str">
        <f t="shared" si="31"/>
        <v/>
      </c>
      <c r="Q301" t="str">
        <f t="shared" si="32"/>
        <v/>
      </c>
    </row>
    <row r="302" spans="1:17">
      <c r="A302" s="74"/>
      <c r="B302" s="59" t="str">
        <f t="shared" si="28"/>
        <v/>
      </c>
      <c r="C302" s="74"/>
      <c r="D302" s="59" t="str">
        <f t="shared" si="29"/>
        <v/>
      </c>
      <c r="E302" s="75"/>
      <c r="F302" s="59" t="str">
        <f t="shared" si="30"/>
        <v/>
      </c>
      <c r="G302" s="64"/>
      <c r="H302" s="64"/>
      <c r="I302" s="64"/>
      <c r="J302" s="211"/>
      <c r="K302" s="212"/>
      <c r="L302" s="212"/>
      <c r="M302" s="211"/>
      <c r="N302" s="211"/>
      <c r="P302" t="str">
        <f t="shared" si="31"/>
        <v/>
      </c>
      <c r="Q302" t="str">
        <f t="shared" si="32"/>
        <v/>
      </c>
    </row>
    <row r="303" spans="1:17">
      <c r="A303" s="74"/>
      <c r="B303" s="59" t="str">
        <f t="shared" si="28"/>
        <v/>
      </c>
      <c r="C303" s="74"/>
      <c r="D303" s="59" t="str">
        <f t="shared" si="29"/>
        <v/>
      </c>
      <c r="E303" s="75"/>
      <c r="F303" s="59" t="str">
        <f t="shared" si="30"/>
        <v/>
      </c>
      <c r="G303" s="64"/>
      <c r="H303" s="64"/>
      <c r="I303" s="64"/>
      <c r="J303" s="211"/>
      <c r="K303" s="212"/>
      <c r="L303" s="212"/>
      <c r="M303" s="211"/>
      <c r="N303" s="211"/>
      <c r="P303" t="str">
        <f t="shared" si="31"/>
        <v/>
      </c>
      <c r="Q303" t="str">
        <f t="shared" si="32"/>
        <v/>
      </c>
    </row>
    <row r="304" spans="1:17">
      <c r="A304" s="74"/>
      <c r="B304" s="59" t="str">
        <f t="shared" si="28"/>
        <v/>
      </c>
      <c r="C304" s="74"/>
      <c r="D304" s="59" t="str">
        <f t="shared" si="29"/>
        <v/>
      </c>
      <c r="E304" s="75"/>
      <c r="F304" s="59" t="str">
        <f t="shared" si="30"/>
        <v/>
      </c>
      <c r="G304" s="64"/>
      <c r="H304" s="64"/>
      <c r="I304" s="64"/>
      <c r="J304" s="211"/>
      <c r="K304" s="212"/>
      <c r="L304" s="212"/>
      <c r="M304" s="211"/>
      <c r="N304" s="211"/>
      <c r="P304" t="str">
        <f t="shared" si="31"/>
        <v/>
      </c>
      <c r="Q304" t="str">
        <f t="shared" si="32"/>
        <v/>
      </c>
    </row>
    <row r="305" spans="1:17">
      <c r="A305" s="74"/>
      <c r="B305" s="59" t="str">
        <f t="shared" si="28"/>
        <v/>
      </c>
      <c r="C305" s="74"/>
      <c r="D305" s="59" t="str">
        <f t="shared" si="29"/>
        <v/>
      </c>
      <c r="E305" s="75"/>
      <c r="F305" s="59" t="str">
        <f t="shared" si="30"/>
        <v/>
      </c>
      <c r="G305" s="64"/>
      <c r="H305" s="64"/>
      <c r="I305" s="64"/>
      <c r="J305" s="211"/>
      <c r="K305" s="212"/>
      <c r="L305" s="212"/>
      <c r="M305" s="211"/>
      <c r="N305" s="211"/>
      <c r="P305" t="str">
        <f t="shared" si="31"/>
        <v/>
      </c>
      <c r="Q305" t="str">
        <f t="shared" si="32"/>
        <v/>
      </c>
    </row>
    <row r="306" spans="1:17">
      <c r="A306" s="74"/>
      <c r="B306" s="59" t="str">
        <f t="shared" si="28"/>
        <v/>
      </c>
      <c r="C306" s="74"/>
      <c r="D306" s="59" t="str">
        <f t="shared" si="29"/>
        <v/>
      </c>
      <c r="E306" s="75"/>
      <c r="F306" s="59" t="str">
        <f t="shared" si="30"/>
        <v/>
      </c>
      <c r="G306" s="64"/>
      <c r="H306" s="64"/>
      <c r="I306" s="64"/>
      <c r="J306" s="211"/>
      <c r="K306" s="212"/>
      <c r="L306" s="212"/>
      <c r="M306" s="211"/>
      <c r="N306" s="211"/>
      <c r="P306" t="str">
        <f t="shared" si="31"/>
        <v/>
      </c>
      <c r="Q306" t="str">
        <f t="shared" si="32"/>
        <v/>
      </c>
    </row>
    <row r="307" spans="1:17">
      <c r="A307" s="74"/>
      <c r="B307" s="59" t="str">
        <f t="shared" si="28"/>
        <v/>
      </c>
      <c r="C307" s="74"/>
      <c r="D307" s="59" t="str">
        <f t="shared" si="29"/>
        <v/>
      </c>
      <c r="E307" s="75"/>
      <c r="F307" s="59" t="str">
        <f t="shared" si="30"/>
        <v/>
      </c>
      <c r="G307" s="64"/>
      <c r="H307" s="64"/>
      <c r="I307" s="64"/>
      <c r="J307" s="211"/>
      <c r="K307" s="212"/>
      <c r="L307" s="212"/>
      <c r="M307" s="211"/>
      <c r="N307" s="211"/>
      <c r="P307" t="str">
        <f t="shared" si="31"/>
        <v/>
      </c>
      <c r="Q307" t="str">
        <f t="shared" si="32"/>
        <v/>
      </c>
    </row>
    <row r="308" spans="1:17">
      <c r="A308" s="74"/>
      <c r="B308" s="59" t="str">
        <f t="shared" si="28"/>
        <v/>
      </c>
      <c r="C308" s="74"/>
      <c r="D308" s="59" t="str">
        <f t="shared" si="29"/>
        <v/>
      </c>
      <c r="E308" s="75"/>
      <c r="F308" s="59" t="str">
        <f t="shared" si="30"/>
        <v/>
      </c>
      <c r="G308" s="64"/>
      <c r="H308" s="64"/>
      <c r="I308" s="64"/>
      <c r="J308" s="211"/>
      <c r="K308" s="212"/>
      <c r="L308" s="212"/>
      <c r="M308" s="211"/>
      <c r="N308" s="211"/>
      <c r="P308" t="str">
        <f t="shared" si="31"/>
        <v/>
      </c>
      <c r="Q308" t="str">
        <f t="shared" si="32"/>
        <v/>
      </c>
    </row>
    <row r="309" spans="1:17">
      <c r="A309" s="74"/>
      <c r="B309" s="59" t="str">
        <f t="shared" si="28"/>
        <v/>
      </c>
      <c r="C309" s="74"/>
      <c r="D309" s="59" t="str">
        <f t="shared" si="29"/>
        <v/>
      </c>
      <c r="E309" s="75"/>
      <c r="F309" s="59" t="str">
        <f t="shared" si="30"/>
        <v/>
      </c>
      <c r="G309" s="64"/>
      <c r="H309" s="64"/>
      <c r="I309" s="64"/>
      <c r="J309" s="211"/>
      <c r="K309" s="212"/>
      <c r="L309" s="212"/>
      <c r="M309" s="211"/>
      <c r="N309" s="211"/>
      <c r="P309" t="str">
        <f t="shared" si="31"/>
        <v/>
      </c>
      <c r="Q309" t="str">
        <f t="shared" si="32"/>
        <v/>
      </c>
    </row>
    <row r="310" spans="1:17">
      <c r="A310" s="74"/>
      <c r="B310" s="59" t="str">
        <f t="shared" si="28"/>
        <v/>
      </c>
      <c r="C310" s="74"/>
      <c r="D310" s="59" t="str">
        <f t="shared" si="29"/>
        <v/>
      </c>
      <c r="E310" s="75"/>
      <c r="F310" s="59" t="str">
        <f t="shared" si="30"/>
        <v/>
      </c>
      <c r="G310" s="64"/>
      <c r="H310" s="64"/>
      <c r="I310" s="64"/>
      <c r="J310" s="211"/>
      <c r="K310" s="212"/>
      <c r="L310" s="212"/>
      <c r="M310" s="211"/>
      <c r="N310" s="211"/>
      <c r="P310" t="str">
        <f t="shared" si="31"/>
        <v/>
      </c>
      <c r="Q310" t="str">
        <f t="shared" si="32"/>
        <v/>
      </c>
    </row>
    <row r="311" spans="1:17">
      <c r="A311" s="74"/>
      <c r="B311" s="59" t="str">
        <f t="shared" si="28"/>
        <v/>
      </c>
      <c r="C311" s="74"/>
      <c r="D311" s="59" t="str">
        <f t="shared" si="29"/>
        <v/>
      </c>
      <c r="E311" s="75"/>
      <c r="F311" s="59" t="str">
        <f t="shared" si="30"/>
        <v/>
      </c>
      <c r="G311" s="64"/>
      <c r="H311" s="64"/>
      <c r="I311" s="64"/>
      <c r="J311" s="211"/>
      <c r="K311" s="212"/>
      <c r="L311" s="212"/>
      <c r="M311" s="211"/>
      <c r="N311" s="211"/>
      <c r="P311" t="str">
        <f t="shared" si="31"/>
        <v/>
      </c>
      <c r="Q311" t="str">
        <f t="shared" si="32"/>
        <v/>
      </c>
    </row>
    <row r="312" spans="1:17">
      <c r="A312" s="74"/>
      <c r="B312" s="59" t="str">
        <f t="shared" si="28"/>
        <v/>
      </c>
      <c r="C312" s="74"/>
      <c r="D312" s="59" t="str">
        <f t="shared" si="29"/>
        <v/>
      </c>
      <c r="E312" s="75"/>
      <c r="F312" s="59" t="str">
        <f t="shared" si="30"/>
        <v/>
      </c>
      <c r="G312" s="64"/>
      <c r="H312" s="64"/>
      <c r="I312" s="64"/>
      <c r="J312" s="211"/>
      <c r="K312" s="212"/>
      <c r="L312" s="212"/>
      <c r="M312" s="211"/>
      <c r="N312" s="211"/>
      <c r="P312" t="str">
        <f t="shared" si="31"/>
        <v/>
      </c>
      <c r="Q312" t="str">
        <f t="shared" si="32"/>
        <v/>
      </c>
    </row>
    <row r="313" spans="1:17">
      <c r="A313" s="74"/>
      <c r="B313" s="59" t="str">
        <f t="shared" si="28"/>
        <v/>
      </c>
      <c r="C313" s="74"/>
      <c r="D313" s="59" t="str">
        <f t="shared" si="29"/>
        <v/>
      </c>
      <c r="E313" s="75"/>
      <c r="F313" s="59" t="str">
        <f t="shared" si="30"/>
        <v/>
      </c>
      <c r="G313" s="64"/>
      <c r="H313" s="64"/>
      <c r="I313" s="64"/>
      <c r="J313" s="211"/>
      <c r="K313" s="212"/>
      <c r="L313" s="212"/>
      <c r="M313" s="211"/>
      <c r="N313" s="211"/>
      <c r="P313" t="str">
        <f t="shared" si="31"/>
        <v/>
      </c>
      <c r="Q313" t="str">
        <f t="shared" si="32"/>
        <v/>
      </c>
    </row>
    <row r="314" spans="1:17">
      <c r="A314" s="74"/>
      <c r="B314" s="59" t="str">
        <f t="shared" si="28"/>
        <v/>
      </c>
      <c r="C314" s="74"/>
      <c r="D314" s="59" t="str">
        <f t="shared" si="29"/>
        <v/>
      </c>
      <c r="E314" s="75"/>
      <c r="F314" s="59" t="str">
        <f t="shared" si="30"/>
        <v/>
      </c>
      <c r="G314" s="64"/>
      <c r="H314" s="64"/>
      <c r="I314" s="64"/>
      <c r="J314" s="211"/>
      <c r="K314" s="212"/>
      <c r="L314" s="212"/>
      <c r="M314" s="211"/>
      <c r="N314" s="211"/>
      <c r="P314" t="str">
        <f t="shared" si="31"/>
        <v/>
      </c>
      <c r="Q314" t="str">
        <f t="shared" si="32"/>
        <v/>
      </c>
    </row>
    <row r="315" spans="1:17">
      <c r="A315" s="74"/>
      <c r="B315" s="59" t="str">
        <f t="shared" si="28"/>
        <v/>
      </c>
      <c r="C315" s="74"/>
      <c r="D315" s="59" t="str">
        <f t="shared" si="29"/>
        <v/>
      </c>
      <c r="E315" s="75"/>
      <c r="F315" s="59" t="str">
        <f t="shared" si="30"/>
        <v/>
      </c>
      <c r="G315" s="64"/>
      <c r="H315" s="64"/>
      <c r="I315" s="64"/>
      <c r="J315" s="211"/>
      <c r="K315" s="212"/>
      <c r="L315" s="212"/>
      <c r="M315" s="211"/>
      <c r="N315" s="211"/>
      <c r="P315" t="str">
        <f t="shared" si="31"/>
        <v/>
      </c>
      <c r="Q315" t="str">
        <f t="shared" si="32"/>
        <v/>
      </c>
    </row>
    <row r="316" spans="1:17">
      <c r="A316" s="74"/>
      <c r="B316" s="59" t="str">
        <f t="shared" si="28"/>
        <v/>
      </c>
      <c r="C316" s="74"/>
      <c r="D316" s="59" t="str">
        <f t="shared" si="29"/>
        <v/>
      </c>
      <c r="E316" s="75"/>
      <c r="F316" s="59" t="str">
        <f t="shared" si="30"/>
        <v/>
      </c>
      <c r="G316" s="64"/>
      <c r="H316" s="64"/>
      <c r="I316" s="64"/>
      <c r="J316" s="211"/>
      <c r="K316" s="212"/>
      <c r="L316" s="212"/>
      <c r="M316" s="211"/>
      <c r="N316" s="211"/>
      <c r="P316" t="str">
        <f t="shared" si="31"/>
        <v/>
      </c>
      <c r="Q316" t="str">
        <f t="shared" si="32"/>
        <v/>
      </c>
    </row>
    <row r="317" spans="1:17">
      <c r="A317" s="74"/>
      <c r="B317" s="59" t="str">
        <f t="shared" si="28"/>
        <v/>
      </c>
      <c r="C317" s="74"/>
      <c r="D317" s="59" t="str">
        <f t="shared" si="29"/>
        <v/>
      </c>
      <c r="E317" s="75"/>
      <c r="F317" s="59" t="str">
        <f t="shared" si="30"/>
        <v/>
      </c>
      <c r="G317" s="64"/>
      <c r="H317" s="64"/>
      <c r="I317" s="64"/>
      <c r="J317" s="211"/>
      <c r="K317" s="212"/>
      <c r="L317" s="212"/>
      <c r="M317" s="211"/>
      <c r="N317" s="211"/>
      <c r="P317" t="str">
        <f t="shared" si="31"/>
        <v/>
      </c>
      <c r="Q317" t="str">
        <f t="shared" si="32"/>
        <v/>
      </c>
    </row>
    <row r="318" spans="1:17">
      <c r="A318" s="74"/>
      <c r="B318" s="59" t="str">
        <f t="shared" si="28"/>
        <v/>
      </c>
      <c r="C318" s="74"/>
      <c r="D318" s="59" t="str">
        <f t="shared" si="29"/>
        <v/>
      </c>
      <c r="E318" s="75"/>
      <c r="F318" s="59" t="str">
        <f t="shared" si="30"/>
        <v/>
      </c>
      <c r="G318" s="64"/>
      <c r="H318" s="64"/>
      <c r="I318" s="64"/>
      <c r="J318" s="211"/>
      <c r="K318" s="212"/>
      <c r="L318" s="212"/>
      <c r="M318" s="211"/>
      <c r="N318" s="211"/>
      <c r="P318" t="str">
        <f t="shared" si="31"/>
        <v/>
      </c>
      <c r="Q318" t="str">
        <f t="shared" si="32"/>
        <v/>
      </c>
    </row>
    <row r="319" spans="1:17">
      <c r="A319" s="74"/>
      <c r="B319" s="59" t="str">
        <f t="shared" si="28"/>
        <v/>
      </c>
      <c r="C319" s="74"/>
      <c r="D319" s="59" t="str">
        <f t="shared" si="29"/>
        <v/>
      </c>
      <c r="E319" s="75"/>
      <c r="F319" s="59" t="str">
        <f t="shared" si="30"/>
        <v/>
      </c>
      <c r="G319" s="64"/>
      <c r="H319" s="64"/>
      <c r="I319" s="64"/>
      <c r="J319" s="211"/>
      <c r="K319" s="212"/>
      <c r="L319" s="212"/>
      <c r="M319" s="211"/>
      <c r="N319" s="211"/>
      <c r="P319" t="str">
        <f t="shared" si="31"/>
        <v/>
      </c>
      <c r="Q319" t="str">
        <f t="shared" si="32"/>
        <v/>
      </c>
    </row>
    <row r="320" spans="1:17">
      <c r="A320" s="74"/>
      <c r="B320" s="59" t="str">
        <f t="shared" si="28"/>
        <v/>
      </c>
      <c r="C320" s="74"/>
      <c r="D320" s="59" t="str">
        <f t="shared" si="29"/>
        <v/>
      </c>
      <c r="E320" s="75"/>
      <c r="F320" s="59" t="str">
        <f t="shared" si="30"/>
        <v/>
      </c>
      <c r="G320" s="64"/>
      <c r="H320" s="64"/>
      <c r="I320" s="64"/>
      <c r="J320" s="211"/>
      <c r="K320" s="212"/>
      <c r="L320" s="212"/>
      <c r="M320" s="211"/>
      <c r="N320" s="211"/>
      <c r="P320" t="str">
        <f t="shared" si="31"/>
        <v/>
      </c>
      <c r="Q320" t="str">
        <f t="shared" si="32"/>
        <v/>
      </c>
    </row>
    <row r="321" spans="1:17">
      <c r="A321" s="74"/>
      <c r="B321" s="59" t="str">
        <f t="shared" si="28"/>
        <v/>
      </c>
      <c r="C321" s="74"/>
      <c r="D321" s="59" t="str">
        <f t="shared" si="29"/>
        <v/>
      </c>
      <c r="E321" s="75"/>
      <c r="F321" s="59" t="str">
        <f t="shared" si="30"/>
        <v/>
      </c>
      <c r="G321" s="64"/>
      <c r="H321" s="64"/>
      <c r="I321" s="64"/>
      <c r="J321" s="211"/>
      <c r="K321" s="212"/>
      <c r="L321" s="212"/>
      <c r="M321" s="211"/>
      <c r="N321" s="211"/>
      <c r="P321" t="str">
        <f t="shared" si="31"/>
        <v/>
      </c>
      <c r="Q321" t="str">
        <f t="shared" si="32"/>
        <v/>
      </c>
    </row>
    <row r="322" spans="1:17">
      <c r="A322" s="74"/>
      <c r="B322" s="59" t="str">
        <f t="shared" si="28"/>
        <v/>
      </c>
      <c r="C322" s="74"/>
      <c r="D322" s="59" t="str">
        <f t="shared" si="29"/>
        <v/>
      </c>
      <c r="E322" s="75"/>
      <c r="F322" s="59" t="str">
        <f t="shared" si="30"/>
        <v/>
      </c>
      <c r="G322" s="64"/>
      <c r="H322" s="64"/>
      <c r="I322" s="64"/>
      <c r="J322" s="211"/>
      <c r="K322" s="212"/>
      <c r="L322" s="212"/>
      <c r="M322" s="211"/>
      <c r="N322" s="211"/>
      <c r="P322" t="str">
        <f t="shared" si="31"/>
        <v/>
      </c>
      <c r="Q322" t="str">
        <f t="shared" si="32"/>
        <v/>
      </c>
    </row>
    <row r="323" spans="1:17">
      <c r="A323" s="74"/>
      <c r="B323" s="59" t="str">
        <f t="shared" ref="B323:B386" si="33">IFERROR(VLOOKUP(A323,$R$6:$S$16,2,0),"")</f>
        <v/>
      </c>
      <c r="C323" s="74"/>
      <c r="D323" s="59" t="str">
        <f t="shared" ref="D323:D386" si="34">IFERROR(VLOOKUP(C323,$U$5:$W$129,2,0),"")</f>
        <v/>
      </c>
      <c r="E323" s="75"/>
      <c r="F323" s="59" t="str">
        <f t="shared" ref="F323:F386" si="35">IFERROR(VLOOKUP(E323,$AA$6:$AB$200,2,0),"")</f>
        <v/>
      </c>
      <c r="G323" s="64"/>
      <c r="H323" s="64"/>
      <c r="I323" s="64"/>
      <c r="J323" s="211"/>
      <c r="K323" s="212"/>
      <c r="L323" s="212"/>
      <c r="M323" s="211"/>
      <c r="N323" s="211"/>
      <c r="P323" t="str">
        <f t="shared" ref="P323:P386" si="36">LEFT(C323,3)</f>
        <v/>
      </c>
      <c r="Q323" t="str">
        <f t="shared" ref="Q323:Q386" si="37">LEFT(C323,2)</f>
        <v/>
      </c>
    </row>
    <row r="324" spans="1:17">
      <c r="A324" s="74"/>
      <c r="B324" s="59" t="str">
        <f t="shared" si="33"/>
        <v/>
      </c>
      <c r="C324" s="74"/>
      <c r="D324" s="59" t="str">
        <f t="shared" si="34"/>
        <v/>
      </c>
      <c r="E324" s="75"/>
      <c r="F324" s="59" t="str">
        <f t="shared" si="35"/>
        <v/>
      </c>
      <c r="G324" s="64"/>
      <c r="H324" s="64"/>
      <c r="I324" s="64"/>
      <c r="J324" s="211"/>
      <c r="K324" s="212"/>
      <c r="L324" s="212"/>
      <c r="M324" s="211"/>
      <c r="N324" s="211"/>
      <c r="P324" t="str">
        <f t="shared" si="36"/>
        <v/>
      </c>
      <c r="Q324" t="str">
        <f t="shared" si="37"/>
        <v/>
      </c>
    </row>
    <row r="325" spans="1:17">
      <c r="A325" s="74"/>
      <c r="B325" s="59" t="str">
        <f t="shared" si="33"/>
        <v/>
      </c>
      <c r="C325" s="74"/>
      <c r="D325" s="59" t="str">
        <f t="shared" si="34"/>
        <v/>
      </c>
      <c r="E325" s="75"/>
      <c r="F325" s="59" t="str">
        <f t="shared" si="35"/>
        <v/>
      </c>
      <c r="G325" s="64"/>
      <c r="H325" s="64"/>
      <c r="I325" s="64"/>
      <c r="J325" s="211"/>
      <c r="K325" s="212"/>
      <c r="L325" s="212"/>
      <c r="M325" s="211"/>
      <c r="N325" s="211"/>
      <c r="P325" t="str">
        <f t="shared" si="36"/>
        <v/>
      </c>
      <c r="Q325" t="str">
        <f t="shared" si="37"/>
        <v/>
      </c>
    </row>
    <row r="326" spans="1:17">
      <c r="A326" s="74"/>
      <c r="B326" s="59" t="str">
        <f t="shared" si="33"/>
        <v/>
      </c>
      <c r="C326" s="74"/>
      <c r="D326" s="59" t="str">
        <f t="shared" si="34"/>
        <v/>
      </c>
      <c r="E326" s="75"/>
      <c r="F326" s="59" t="str">
        <f t="shared" si="35"/>
        <v/>
      </c>
      <c r="G326" s="64"/>
      <c r="H326" s="64"/>
      <c r="I326" s="64"/>
      <c r="J326" s="211"/>
      <c r="K326" s="212"/>
      <c r="L326" s="212"/>
      <c r="M326" s="211"/>
      <c r="N326" s="211"/>
      <c r="P326" t="str">
        <f t="shared" si="36"/>
        <v/>
      </c>
      <c r="Q326" t="str">
        <f t="shared" si="37"/>
        <v/>
      </c>
    </row>
    <row r="327" spans="1:17">
      <c r="A327" s="74"/>
      <c r="B327" s="59" t="str">
        <f t="shared" si="33"/>
        <v/>
      </c>
      <c r="C327" s="74"/>
      <c r="D327" s="59" t="str">
        <f t="shared" si="34"/>
        <v/>
      </c>
      <c r="E327" s="75"/>
      <c r="F327" s="59" t="str">
        <f t="shared" si="35"/>
        <v/>
      </c>
      <c r="G327" s="64"/>
      <c r="H327" s="64"/>
      <c r="I327" s="64"/>
      <c r="J327" s="211"/>
      <c r="K327" s="212"/>
      <c r="L327" s="212"/>
      <c r="M327" s="211"/>
      <c r="N327" s="211"/>
      <c r="P327" t="str">
        <f t="shared" si="36"/>
        <v/>
      </c>
      <c r="Q327" t="str">
        <f t="shared" si="37"/>
        <v/>
      </c>
    </row>
    <row r="328" spans="1:17">
      <c r="A328" s="74"/>
      <c r="B328" s="59" t="str">
        <f t="shared" si="33"/>
        <v/>
      </c>
      <c r="C328" s="74"/>
      <c r="D328" s="59" t="str">
        <f t="shared" si="34"/>
        <v/>
      </c>
      <c r="E328" s="75"/>
      <c r="F328" s="59" t="str">
        <f t="shared" si="35"/>
        <v/>
      </c>
      <c r="G328" s="64"/>
      <c r="H328" s="64"/>
      <c r="I328" s="64"/>
      <c r="J328" s="211"/>
      <c r="K328" s="212"/>
      <c r="L328" s="212"/>
      <c r="M328" s="211"/>
      <c r="N328" s="211"/>
      <c r="P328" t="str">
        <f t="shared" si="36"/>
        <v/>
      </c>
      <c r="Q328" t="str">
        <f t="shared" si="37"/>
        <v/>
      </c>
    </row>
    <row r="329" spans="1:17">
      <c r="A329" s="74"/>
      <c r="B329" s="59" t="str">
        <f t="shared" si="33"/>
        <v/>
      </c>
      <c r="C329" s="74"/>
      <c r="D329" s="59" t="str">
        <f t="shared" si="34"/>
        <v/>
      </c>
      <c r="E329" s="75"/>
      <c r="F329" s="59" t="str">
        <f t="shared" si="35"/>
        <v/>
      </c>
      <c r="G329" s="64"/>
      <c r="H329" s="64"/>
      <c r="I329" s="64"/>
      <c r="J329" s="211"/>
      <c r="K329" s="212"/>
      <c r="L329" s="212"/>
      <c r="M329" s="211"/>
      <c r="N329" s="211"/>
      <c r="P329" t="str">
        <f t="shared" si="36"/>
        <v/>
      </c>
      <c r="Q329" t="str">
        <f t="shared" si="37"/>
        <v/>
      </c>
    </row>
    <row r="330" spans="1:17">
      <c r="A330" s="74"/>
      <c r="B330" s="59" t="str">
        <f t="shared" si="33"/>
        <v/>
      </c>
      <c r="C330" s="74"/>
      <c r="D330" s="59" t="str">
        <f t="shared" si="34"/>
        <v/>
      </c>
      <c r="E330" s="75"/>
      <c r="F330" s="59" t="str">
        <f t="shared" si="35"/>
        <v/>
      </c>
      <c r="G330" s="64"/>
      <c r="H330" s="64"/>
      <c r="I330" s="64"/>
      <c r="J330" s="211"/>
      <c r="K330" s="212"/>
      <c r="L330" s="212"/>
      <c r="M330" s="211"/>
      <c r="N330" s="211"/>
      <c r="P330" t="str">
        <f t="shared" si="36"/>
        <v/>
      </c>
      <c r="Q330" t="str">
        <f t="shared" si="37"/>
        <v/>
      </c>
    </row>
    <row r="331" spans="1:17">
      <c r="A331" s="74"/>
      <c r="B331" s="59" t="str">
        <f t="shared" si="33"/>
        <v/>
      </c>
      <c r="C331" s="74"/>
      <c r="D331" s="59" t="str">
        <f t="shared" si="34"/>
        <v/>
      </c>
      <c r="E331" s="75"/>
      <c r="F331" s="59" t="str">
        <f t="shared" si="35"/>
        <v/>
      </c>
      <c r="G331" s="64"/>
      <c r="H331" s="64"/>
      <c r="I331" s="64"/>
      <c r="J331" s="211"/>
      <c r="K331" s="212"/>
      <c r="L331" s="212"/>
      <c r="M331" s="211"/>
      <c r="N331" s="211"/>
      <c r="P331" t="str">
        <f t="shared" si="36"/>
        <v/>
      </c>
      <c r="Q331" t="str">
        <f t="shared" si="37"/>
        <v/>
      </c>
    </row>
    <row r="332" spans="1:17">
      <c r="A332" s="74"/>
      <c r="B332" s="59" t="str">
        <f t="shared" si="33"/>
        <v/>
      </c>
      <c r="C332" s="74"/>
      <c r="D332" s="59" t="str">
        <f t="shared" si="34"/>
        <v/>
      </c>
      <c r="E332" s="75"/>
      <c r="F332" s="59" t="str">
        <f t="shared" si="35"/>
        <v/>
      </c>
      <c r="G332" s="64"/>
      <c r="H332" s="64"/>
      <c r="I332" s="64"/>
      <c r="J332" s="211"/>
      <c r="K332" s="212"/>
      <c r="L332" s="212"/>
      <c r="M332" s="211"/>
      <c r="N332" s="211"/>
      <c r="P332" t="str">
        <f t="shared" si="36"/>
        <v/>
      </c>
      <c r="Q332" t="str">
        <f t="shared" si="37"/>
        <v/>
      </c>
    </row>
    <row r="333" spans="1:17">
      <c r="A333" s="74"/>
      <c r="B333" s="59" t="str">
        <f t="shared" si="33"/>
        <v/>
      </c>
      <c r="C333" s="74"/>
      <c r="D333" s="59" t="str">
        <f t="shared" si="34"/>
        <v/>
      </c>
      <c r="E333" s="75"/>
      <c r="F333" s="59" t="str">
        <f t="shared" si="35"/>
        <v/>
      </c>
      <c r="G333" s="64"/>
      <c r="H333" s="64"/>
      <c r="I333" s="64"/>
      <c r="J333" s="211"/>
      <c r="K333" s="212"/>
      <c r="L333" s="212"/>
      <c r="M333" s="211"/>
      <c r="N333" s="211"/>
      <c r="P333" t="str">
        <f t="shared" si="36"/>
        <v/>
      </c>
      <c r="Q333" t="str">
        <f t="shared" si="37"/>
        <v/>
      </c>
    </row>
    <row r="334" spans="1:17">
      <c r="A334" s="74"/>
      <c r="B334" s="59" t="str">
        <f t="shared" si="33"/>
        <v/>
      </c>
      <c r="C334" s="74"/>
      <c r="D334" s="59" t="str">
        <f t="shared" si="34"/>
        <v/>
      </c>
      <c r="E334" s="75"/>
      <c r="F334" s="59" t="str">
        <f t="shared" si="35"/>
        <v/>
      </c>
      <c r="G334" s="64"/>
      <c r="H334" s="64"/>
      <c r="I334" s="64"/>
      <c r="J334" s="211"/>
      <c r="K334" s="212"/>
      <c r="L334" s="212"/>
      <c r="M334" s="211"/>
      <c r="N334" s="211"/>
      <c r="P334" t="str">
        <f t="shared" si="36"/>
        <v/>
      </c>
      <c r="Q334" t="str">
        <f t="shared" si="37"/>
        <v/>
      </c>
    </row>
    <row r="335" spans="1:17">
      <c r="A335" s="74"/>
      <c r="B335" s="59" t="str">
        <f t="shared" si="33"/>
        <v/>
      </c>
      <c r="C335" s="74"/>
      <c r="D335" s="59" t="str">
        <f t="shared" si="34"/>
        <v/>
      </c>
      <c r="E335" s="75"/>
      <c r="F335" s="59" t="str">
        <f t="shared" si="35"/>
        <v/>
      </c>
      <c r="G335" s="64"/>
      <c r="H335" s="64"/>
      <c r="I335" s="64"/>
      <c r="J335" s="211"/>
      <c r="K335" s="212"/>
      <c r="L335" s="212"/>
      <c r="M335" s="211"/>
      <c r="N335" s="211"/>
      <c r="P335" t="str">
        <f t="shared" si="36"/>
        <v/>
      </c>
      <c r="Q335" t="str">
        <f t="shared" si="37"/>
        <v/>
      </c>
    </row>
    <row r="336" spans="1:17">
      <c r="A336" s="74"/>
      <c r="B336" s="59" t="str">
        <f t="shared" si="33"/>
        <v/>
      </c>
      <c r="C336" s="74"/>
      <c r="D336" s="59" t="str">
        <f t="shared" si="34"/>
        <v/>
      </c>
      <c r="E336" s="75"/>
      <c r="F336" s="59" t="str">
        <f t="shared" si="35"/>
        <v/>
      </c>
      <c r="G336" s="64"/>
      <c r="H336" s="64"/>
      <c r="I336" s="64"/>
      <c r="J336" s="211"/>
      <c r="K336" s="212"/>
      <c r="L336" s="212"/>
      <c r="M336" s="211"/>
      <c r="N336" s="211"/>
      <c r="P336" t="str">
        <f t="shared" si="36"/>
        <v/>
      </c>
      <c r="Q336" t="str">
        <f t="shared" si="37"/>
        <v/>
      </c>
    </row>
    <row r="337" spans="1:17">
      <c r="A337" s="74"/>
      <c r="B337" s="59" t="str">
        <f t="shared" si="33"/>
        <v/>
      </c>
      <c r="C337" s="74"/>
      <c r="D337" s="59" t="str">
        <f t="shared" si="34"/>
        <v/>
      </c>
      <c r="E337" s="75"/>
      <c r="F337" s="59" t="str">
        <f t="shared" si="35"/>
        <v/>
      </c>
      <c r="G337" s="64"/>
      <c r="H337" s="64"/>
      <c r="I337" s="64"/>
      <c r="J337" s="211"/>
      <c r="K337" s="212"/>
      <c r="L337" s="212"/>
      <c r="M337" s="211"/>
      <c r="N337" s="211"/>
      <c r="P337" t="str">
        <f t="shared" si="36"/>
        <v/>
      </c>
      <c r="Q337" t="str">
        <f t="shared" si="37"/>
        <v/>
      </c>
    </row>
    <row r="338" spans="1:17">
      <c r="A338" s="74"/>
      <c r="B338" s="59" t="str">
        <f t="shared" si="33"/>
        <v/>
      </c>
      <c r="C338" s="74"/>
      <c r="D338" s="59" t="str">
        <f t="shared" si="34"/>
        <v/>
      </c>
      <c r="E338" s="75"/>
      <c r="F338" s="59" t="str">
        <f t="shared" si="35"/>
        <v/>
      </c>
      <c r="G338" s="64"/>
      <c r="H338" s="64"/>
      <c r="I338" s="64"/>
      <c r="J338" s="211"/>
      <c r="K338" s="212"/>
      <c r="L338" s="212"/>
      <c r="M338" s="211"/>
      <c r="N338" s="211"/>
      <c r="P338" t="str">
        <f t="shared" si="36"/>
        <v/>
      </c>
      <c r="Q338" t="str">
        <f t="shared" si="37"/>
        <v/>
      </c>
    </row>
    <row r="339" spans="1:17">
      <c r="A339" s="74"/>
      <c r="B339" s="59" t="str">
        <f t="shared" si="33"/>
        <v/>
      </c>
      <c r="C339" s="74"/>
      <c r="D339" s="59" t="str">
        <f t="shared" si="34"/>
        <v/>
      </c>
      <c r="E339" s="75"/>
      <c r="F339" s="59" t="str">
        <f t="shared" si="35"/>
        <v/>
      </c>
      <c r="G339" s="64"/>
      <c r="H339" s="64"/>
      <c r="I339" s="64"/>
      <c r="J339" s="211"/>
      <c r="K339" s="212"/>
      <c r="L339" s="212"/>
      <c r="M339" s="211"/>
      <c r="N339" s="211"/>
      <c r="P339" t="str">
        <f t="shared" si="36"/>
        <v/>
      </c>
      <c r="Q339" t="str">
        <f t="shared" si="37"/>
        <v/>
      </c>
    </row>
    <row r="340" spans="1:17">
      <c r="A340" s="74"/>
      <c r="B340" s="59" t="str">
        <f t="shared" si="33"/>
        <v/>
      </c>
      <c r="C340" s="74"/>
      <c r="D340" s="59" t="str">
        <f t="shared" si="34"/>
        <v/>
      </c>
      <c r="E340" s="75"/>
      <c r="F340" s="59" t="str">
        <f t="shared" si="35"/>
        <v/>
      </c>
      <c r="G340" s="64"/>
      <c r="H340" s="64"/>
      <c r="I340" s="64"/>
      <c r="J340" s="211"/>
      <c r="K340" s="212"/>
      <c r="L340" s="212"/>
      <c r="M340" s="211"/>
      <c r="N340" s="211"/>
      <c r="P340" t="str">
        <f t="shared" si="36"/>
        <v/>
      </c>
      <c r="Q340" t="str">
        <f t="shared" si="37"/>
        <v/>
      </c>
    </row>
    <row r="341" spans="1:17">
      <c r="A341" s="74"/>
      <c r="B341" s="59" t="str">
        <f t="shared" si="33"/>
        <v/>
      </c>
      <c r="C341" s="74"/>
      <c r="D341" s="59" t="str">
        <f t="shared" si="34"/>
        <v/>
      </c>
      <c r="E341" s="75"/>
      <c r="F341" s="59" t="str">
        <f t="shared" si="35"/>
        <v/>
      </c>
      <c r="G341" s="64"/>
      <c r="H341" s="64"/>
      <c r="I341" s="64"/>
      <c r="J341" s="211"/>
      <c r="K341" s="212"/>
      <c r="L341" s="212"/>
      <c r="M341" s="211"/>
      <c r="N341" s="211"/>
      <c r="P341" t="str">
        <f t="shared" si="36"/>
        <v/>
      </c>
      <c r="Q341" t="str">
        <f t="shared" si="37"/>
        <v/>
      </c>
    </row>
    <row r="342" spans="1:17">
      <c r="A342" s="74"/>
      <c r="B342" s="59" t="str">
        <f t="shared" si="33"/>
        <v/>
      </c>
      <c r="C342" s="74"/>
      <c r="D342" s="59" t="str">
        <f t="shared" si="34"/>
        <v/>
      </c>
      <c r="E342" s="75"/>
      <c r="F342" s="59" t="str">
        <f t="shared" si="35"/>
        <v/>
      </c>
      <c r="G342" s="64"/>
      <c r="H342" s="64"/>
      <c r="I342" s="64"/>
      <c r="J342" s="211"/>
      <c r="K342" s="212"/>
      <c r="L342" s="212"/>
      <c r="M342" s="211"/>
      <c r="N342" s="211"/>
      <c r="P342" t="str">
        <f t="shared" si="36"/>
        <v/>
      </c>
      <c r="Q342" t="str">
        <f t="shared" si="37"/>
        <v/>
      </c>
    </row>
    <row r="343" spans="1:17">
      <c r="A343" s="74"/>
      <c r="B343" s="59" t="str">
        <f t="shared" si="33"/>
        <v/>
      </c>
      <c r="C343" s="74"/>
      <c r="D343" s="59" t="str">
        <f t="shared" si="34"/>
        <v/>
      </c>
      <c r="E343" s="75"/>
      <c r="F343" s="59" t="str">
        <f t="shared" si="35"/>
        <v/>
      </c>
      <c r="G343" s="64"/>
      <c r="H343" s="64"/>
      <c r="I343" s="64"/>
      <c r="J343" s="211"/>
      <c r="K343" s="212"/>
      <c r="L343" s="212"/>
      <c r="M343" s="211"/>
      <c r="N343" s="211"/>
      <c r="P343" t="str">
        <f t="shared" si="36"/>
        <v/>
      </c>
      <c r="Q343" t="str">
        <f t="shared" si="37"/>
        <v/>
      </c>
    </row>
    <row r="344" spans="1:17">
      <c r="A344" s="74"/>
      <c r="B344" s="59" t="str">
        <f t="shared" si="33"/>
        <v/>
      </c>
      <c r="C344" s="74"/>
      <c r="D344" s="59" t="str">
        <f t="shared" si="34"/>
        <v/>
      </c>
      <c r="E344" s="75"/>
      <c r="F344" s="59" t="str">
        <f t="shared" si="35"/>
        <v/>
      </c>
      <c r="G344" s="64"/>
      <c r="H344" s="64"/>
      <c r="I344" s="64"/>
      <c r="J344" s="211"/>
      <c r="K344" s="212"/>
      <c r="L344" s="212"/>
      <c r="M344" s="211"/>
      <c r="N344" s="211"/>
      <c r="P344" t="str">
        <f t="shared" si="36"/>
        <v/>
      </c>
      <c r="Q344" t="str">
        <f t="shared" si="37"/>
        <v/>
      </c>
    </row>
    <row r="345" spans="1:17">
      <c r="A345" s="74"/>
      <c r="B345" s="59" t="str">
        <f t="shared" si="33"/>
        <v/>
      </c>
      <c r="C345" s="74"/>
      <c r="D345" s="59" t="str">
        <f t="shared" si="34"/>
        <v/>
      </c>
      <c r="E345" s="75"/>
      <c r="F345" s="59" t="str">
        <f t="shared" si="35"/>
        <v/>
      </c>
      <c r="G345" s="64"/>
      <c r="H345" s="64"/>
      <c r="I345" s="64"/>
      <c r="J345" s="211"/>
      <c r="K345" s="212"/>
      <c r="L345" s="212"/>
      <c r="M345" s="211"/>
      <c r="N345" s="211"/>
      <c r="P345" t="str">
        <f t="shared" si="36"/>
        <v/>
      </c>
      <c r="Q345" t="str">
        <f t="shared" si="37"/>
        <v/>
      </c>
    </row>
    <row r="346" spans="1:17">
      <c r="A346" s="74"/>
      <c r="B346" s="59" t="str">
        <f t="shared" si="33"/>
        <v/>
      </c>
      <c r="C346" s="74"/>
      <c r="D346" s="59" t="str">
        <f t="shared" si="34"/>
        <v/>
      </c>
      <c r="E346" s="75"/>
      <c r="F346" s="59" t="str">
        <f t="shared" si="35"/>
        <v/>
      </c>
      <c r="G346" s="64"/>
      <c r="H346" s="64"/>
      <c r="I346" s="64"/>
      <c r="J346" s="211"/>
      <c r="K346" s="212"/>
      <c r="L346" s="212"/>
      <c r="M346" s="211"/>
      <c r="N346" s="211"/>
      <c r="P346" t="str">
        <f t="shared" si="36"/>
        <v/>
      </c>
      <c r="Q346" t="str">
        <f t="shared" si="37"/>
        <v/>
      </c>
    </row>
    <row r="347" spans="1:17">
      <c r="A347" s="74"/>
      <c r="B347" s="59" t="str">
        <f t="shared" si="33"/>
        <v/>
      </c>
      <c r="C347" s="74"/>
      <c r="D347" s="59" t="str">
        <f t="shared" si="34"/>
        <v/>
      </c>
      <c r="E347" s="75"/>
      <c r="F347" s="59" t="str">
        <f t="shared" si="35"/>
        <v/>
      </c>
      <c r="G347" s="64"/>
      <c r="H347" s="64"/>
      <c r="I347" s="64"/>
      <c r="J347" s="211"/>
      <c r="K347" s="212"/>
      <c r="L347" s="212"/>
      <c r="M347" s="211"/>
      <c r="N347" s="211"/>
      <c r="P347" t="str">
        <f t="shared" si="36"/>
        <v/>
      </c>
      <c r="Q347" t="str">
        <f t="shared" si="37"/>
        <v/>
      </c>
    </row>
    <row r="348" spans="1:17">
      <c r="A348" s="74"/>
      <c r="B348" s="59" t="str">
        <f t="shared" si="33"/>
        <v/>
      </c>
      <c r="C348" s="74"/>
      <c r="D348" s="59" t="str">
        <f t="shared" si="34"/>
        <v/>
      </c>
      <c r="E348" s="75"/>
      <c r="F348" s="59" t="str">
        <f t="shared" si="35"/>
        <v/>
      </c>
      <c r="G348" s="64"/>
      <c r="H348" s="64"/>
      <c r="I348" s="64"/>
      <c r="J348" s="211"/>
      <c r="K348" s="212"/>
      <c r="L348" s="212"/>
      <c r="M348" s="211"/>
      <c r="N348" s="211"/>
      <c r="P348" t="str">
        <f t="shared" si="36"/>
        <v/>
      </c>
      <c r="Q348" t="str">
        <f t="shared" si="37"/>
        <v/>
      </c>
    </row>
    <row r="349" spans="1:17">
      <c r="A349" s="74"/>
      <c r="B349" s="59" t="str">
        <f t="shared" si="33"/>
        <v/>
      </c>
      <c r="C349" s="74"/>
      <c r="D349" s="59" t="str">
        <f t="shared" si="34"/>
        <v/>
      </c>
      <c r="E349" s="75"/>
      <c r="F349" s="59" t="str">
        <f t="shared" si="35"/>
        <v/>
      </c>
      <c r="G349" s="64"/>
      <c r="H349" s="64"/>
      <c r="I349" s="64"/>
      <c r="J349" s="211"/>
      <c r="K349" s="212"/>
      <c r="L349" s="212"/>
      <c r="M349" s="211"/>
      <c r="N349" s="211"/>
      <c r="P349" t="str">
        <f t="shared" si="36"/>
        <v/>
      </c>
      <c r="Q349" t="str">
        <f t="shared" si="37"/>
        <v/>
      </c>
    </row>
    <row r="350" spans="1:17">
      <c r="A350" s="74"/>
      <c r="B350" s="59" t="str">
        <f t="shared" si="33"/>
        <v/>
      </c>
      <c r="C350" s="74"/>
      <c r="D350" s="59" t="str">
        <f t="shared" si="34"/>
        <v/>
      </c>
      <c r="E350" s="75"/>
      <c r="F350" s="59" t="str">
        <f t="shared" si="35"/>
        <v/>
      </c>
      <c r="G350" s="64"/>
      <c r="H350" s="64"/>
      <c r="I350" s="64"/>
      <c r="J350" s="211"/>
      <c r="K350" s="212"/>
      <c r="L350" s="212"/>
      <c r="M350" s="211"/>
      <c r="N350" s="211"/>
      <c r="P350" t="str">
        <f t="shared" si="36"/>
        <v/>
      </c>
      <c r="Q350" t="str">
        <f t="shared" si="37"/>
        <v/>
      </c>
    </row>
    <row r="351" spans="1:17">
      <c r="A351" s="74"/>
      <c r="B351" s="59" t="str">
        <f t="shared" si="33"/>
        <v/>
      </c>
      <c r="C351" s="74"/>
      <c r="D351" s="59" t="str">
        <f t="shared" si="34"/>
        <v/>
      </c>
      <c r="E351" s="75"/>
      <c r="F351" s="59" t="str">
        <f t="shared" si="35"/>
        <v/>
      </c>
      <c r="G351" s="64"/>
      <c r="H351" s="64"/>
      <c r="I351" s="64"/>
      <c r="J351" s="211"/>
      <c r="K351" s="212"/>
      <c r="L351" s="212"/>
      <c r="M351" s="211"/>
      <c r="N351" s="211"/>
      <c r="P351" t="str">
        <f t="shared" si="36"/>
        <v/>
      </c>
      <c r="Q351" t="str">
        <f t="shared" si="37"/>
        <v/>
      </c>
    </row>
    <row r="352" spans="1:17">
      <c r="A352" s="74"/>
      <c r="B352" s="59" t="str">
        <f t="shared" si="33"/>
        <v/>
      </c>
      <c r="C352" s="74"/>
      <c r="D352" s="59" t="str">
        <f t="shared" si="34"/>
        <v/>
      </c>
      <c r="E352" s="75"/>
      <c r="F352" s="59" t="str">
        <f t="shared" si="35"/>
        <v/>
      </c>
      <c r="G352" s="64"/>
      <c r="H352" s="64"/>
      <c r="I352" s="64"/>
      <c r="J352" s="211"/>
      <c r="K352" s="212"/>
      <c r="L352" s="212"/>
      <c r="M352" s="211"/>
      <c r="N352" s="211"/>
      <c r="P352" t="str">
        <f t="shared" si="36"/>
        <v/>
      </c>
      <c r="Q352" t="str">
        <f t="shared" si="37"/>
        <v/>
      </c>
    </row>
    <row r="353" spans="1:17">
      <c r="A353" s="74"/>
      <c r="B353" s="59" t="str">
        <f t="shared" si="33"/>
        <v/>
      </c>
      <c r="C353" s="74"/>
      <c r="D353" s="59" t="str">
        <f t="shared" si="34"/>
        <v/>
      </c>
      <c r="E353" s="75"/>
      <c r="F353" s="59" t="str">
        <f t="shared" si="35"/>
        <v/>
      </c>
      <c r="G353" s="64"/>
      <c r="H353" s="64"/>
      <c r="I353" s="64"/>
      <c r="J353" s="211"/>
      <c r="K353" s="212"/>
      <c r="L353" s="212"/>
      <c r="M353" s="211"/>
      <c r="N353" s="211"/>
      <c r="P353" t="str">
        <f t="shared" si="36"/>
        <v/>
      </c>
      <c r="Q353" t="str">
        <f t="shared" si="37"/>
        <v/>
      </c>
    </row>
    <row r="354" spans="1:17">
      <c r="A354" s="74"/>
      <c r="B354" s="59" t="str">
        <f t="shared" si="33"/>
        <v/>
      </c>
      <c r="C354" s="74"/>
      <c r="D354" s="59" t="str">
        <f t="shared" si="34"/>
        <v/>
      </c>
      <c r="E354" s="75"/>
      <c r="F354" s="59" t="str">
        <f t="shared" si="35"/>
        <v/>
      </c>
      <c r="G354" s="64"/>
      <c r="H354" s="64"/>
      <c r="I354" s="64"/>
      <c r="J354" s="211"/>
      <c r="K354" s="212"/>
      <c r="L354" s="212"/>
      <c r="M354" s="211"/>
      <c r="N354" s="211"/>
      <c r="P354" t="str">
        <f t="shared" si="36"/>
        <v/>
      </c>
      <c r="Q354" t="str">
        <f t="shared" si="37"/>
        <v/>
      </c>
    </row>
    <row r="355" spans="1:17">
      <c r="A355" s="74"/>
      <c r="B355" s="59" t="str">
        <f t="shared" si="33"/>
        <v/>
      </c>
      <c r="C355" s="74"/>
      <c r="D355" s="59" t="str">
        <f t="shared" si="34"/>
        <v/>
      </c>
      <c r="E355" s="75"/>
      <c r="F355" s="59" t="str">
        <f t="shared" si="35"/>
        <v/>
      </c>
      <c r="G355" s="64"/>
      <c r="H355" s="64"/>
      <c r="I355" s="64"/>
      <c r="J355" s="211"/>
      <c r="K355" s="212"/>
      <c r="L355" s="212"/>
      <c r="M355" s="211"/>
      <c r="N355" s="211"/>
      <c r="P355" t="str">
        <f t="shared" si="36"/>
        <v/>
      </c>
      <c r="Q355" t="str">
        <f t="shared" si="37"/>
        <v/>
      </c>
    </row>
    <row r="356" spans="1:17">
      <c r="A356" s="74"/>
      <c r="B356" s="59" t="str">
        <f t="shared" si="33"/>
        <v/>
      </c>
      <c r="C356" s="74"/>
      <c r="D356" s="59" t="str">
        <f t="shared" si="34"/>
        <v/>
      </c>
      <c r="E356" s="75"/>
      <c r="F356" s="59" t="str">
        <f t="shared" si="35"/>
        <v/>
      </c>
      <c r="G356" s="64"/>
      <c r="H356" s="64"/>
      <c r="I356" s="64"/>
      <c r="J356" s="211"/>
      <c r="K356" s="212"/>
      <c r="L356" s="212"/>
      <c r="M356" s="211"/>
      <c r="N356" s="211"/>
      <c r="P356" t="str">
        <f t="shared" si="36"/>
        <v/>
      </c>
      <c r="Q356" t="str">
        <f t="shared" si="37"/>
        <v/>
      </c>
    </row>
    <row r="357" spans="1:17">
      <c r="A357" s="74"/>
      <c r="B357" s="59" t="str">
        <f t="shared" si="33"/>
        <v/>
      </c>
      <c r="C357" s="74"/>
      <c r="D357" s="59" t="str">
        <f t="shared" si="34"/>
        <v/>
      </c>
      <c r="E357" s="75"/>
      <c r="F357" s="59" t="str">
        <f t="shared" si="35"/>
        <v/>
      </c>
      <c r="G357" s="64"/>
      <c r="H357" s="64"/>
      <c r="I357" s="64"/>
      <c r="J357" s="211"/>
      <c r="K357" s="212"/>
      <c r="L357" s="212"/>
      <c r="M357" s="211"/>
      <c r="N357" s="211"/>
      <c r="P357" t="str">
        <f t="shared" si="36"/>
        <v/>
      </c>
      <c r="Q357" t="str">
        <f t="shared" si="37"/>
        <v/>
      </c>
    </row>
    <row r="358" spans="1:17">
      <c r="A358" s="74"/>
      <c r="B358" s="59" t="str">
        <f t="shared" si="33"/>
        <v/>
      </c>
      <c r="C358" s="74"/>
      <c r="D358" s="59" t="str">
        <f t="shared" si="34"/>
        <v/>
      </c>
      <c r="E358" s="75"/>
      <c r="F358" s="59" t="str">
        <f t="shared" si="35"/>
        <v/>
      </c>
      <c r="G358" s="64"/>
      <c r="H358" s="64"/>
      <c r="I358" s="64"/>
      <c r="J358" s="211"/>
      <c r="K358" s="212"/>
      <c r="L358" s="212"/>
      <c r="M358" s="211"/>
      <c r="N358" s="211"/>
      <c r="P358" t="str">
        <f t="shared" si="36"/>
        <v/>
      </c>
      <c r="Q358" t="str">
        <f t="shared" si="37"/>
        <v/>
      </c>
    </row>
    <row r="359" spans="1:17">
      <c r="A359" s="74"/>
      <c r="B359" s="59" t="str">
        <f t="shared" si="33"/>
        <v/>
      </c>
      <c r="C359" s="74"/>
      <c r="D359" s="59" t="str">
        <f t="shared" si="34"/>
        <v/>
      </c>
      <c r="E359" s="75"/>
      <c r="F359" s="59" t="str">
        <f t="shared" si="35"/>
        <v/>
      </c>
      <c r="G359" s="64"/>
      <c r="H359" s="64"/>
      <c r="I359" s="64"/>
      <c r="J359" s="211"/>
      <c r="K359" s="212"/>
      <c r="L359" s="212"/>
      <c r="M359" s="211"/>
      <c r="N359" s="211"/>
      <c r="P359" t="str">
        <f t="shared" si="36"/>
        <v/>
      </c>
      <c r="Q359" t="str">
        <f t="shared" si="37"/>
        <v/>
      </c>
    </row>
    <row r="360" spans="1:17">
      <c r="A360" s="74"/>
      <c r="B360" s="59" t="str">
        <f t="shared" si="33"/>
        <v/>
      </c>
      <c r="C360" s="74"/>
      <c r="D360" s="59" t="str">
        <f t="shared" si="34"/>
        <v/>
      </c>
      <c r="E360" s="75"/>
      <c r="F360" s="59" t="str">
        <f t="shared" si="35"/>
        <v/>
      </c>
      <c r="G360" s="64"/>
      <c r="H360" s="64"/>
      <c r="I360" s="64"/>
      <c r="J360" s="211"/>
      <c r="K360" s="212"/>
      <c r="L360" s="212"/>
      <c r="M360" s="211"/>
      <c r="N360" s="211"/>
      <c r="P360" t="str">
        <f t="shared" si="36"/>
        <v/>
      </c>
      <c r="Q360" t="str">
        <f t="shared" si="37"/>
        <v/>
      </c>
    </row>
    <row r="361" spans="1:17">
      <c r="A361" s="74"/>
      <c r="B361" s="59" t="str">
        <f t="shared" si="33"/>
        <v/>
      </c>
      <c r="C361" s="74"/>
      <c r="D361" s="59" t="str">
        <f t="shared" si="34"/>
        <v/>
      </c>
      <c r="E361" s="75"/>
      <c r="F361" s="59" t="str">
        <f t="shared" si="35"/>
        <v/>
      </c>
      <c r="G361" s="64"/>
      <c r="H361" s="64"/>
      <c r="I361" s="64"/>
      <c r="J361" s="211"/>
      <c r="K361" s="212"/>
      <c r="L361" s="212"/>
      <c r="M361" s="211"/>
      <c r="N361" s="211"/>
      <c r="P361" t="str">
        <f t="shared" si="36"/>
        <v/>
      </c>
      <c r="Q361" t="str">
        <f t="shared" si="37"/>
        <v/>
      </c>
    </row>
    <row r="362" spans="1:17">
      <c r="A362" s="74"/>
      <c r="B362" s="59" t="str">
        <f t="shared" si="33"/>
        <v/>
      </c>
      <c r="C362" s="74"/>
      <c r="D362" s="59" t="str">
        <f t="shared" si="34"/>
        <v/>
      </c>
      <c r="E362" s="75"/>
      <c r="F362" s="59" t="str">
        <f t="shared" si="35"/>
        <v/>
      </c>
      <c r="G362" s="64"/>
      <c r="H362" s="64"/>
      <c r="I362" s="64"/>
      <c r="J362" s="211"/>
      <c r="K362" s="212"/>
      <c r="L362" s="212"/>
      <c r="M362" s="211"/>
      <c r="N362" s="211"/>
      <c r="P362" t="str">
        <f t="shared" si="36"/>
        <v/>
      </c>
      <c r="Q362" t="str">
        <f t="shared" si="37"/>
        <v/>
      </c>
    </row>
    <row r="363" spans="1:17">
      <c r="A363" s="74"/>
      <c r="B363" s="59" t="str">
        <f t="shared" si="33"/>
        <v/>
      </c>
      <c r="C363" s="74"/>
      <c r="D363" s="59" t="str">
        <f t="shared" si="34"/>
        <v/>
      </c>
      <c r="E363" s="75"/>
      <c r="F363" s="59" t="str">
        <f t="shared" si="35"/>
        <v/>
      </c>
      <c r="G363" s="64"/>
      <c r="H363" s="64"/>
      <c r="I363" s="64"/>
      <c r="J363" s="211"/>
      <c r="K363" s="212"/>
      <c r="L363" s="212"/>
      <c r="M363" s="211"/>
      <c r="N363" s="211"/>
      <c r="P363" t="str">
        <f t="shared" si="36"/>
        <v/>
      </c>
      <c r="Q363" t="str">
        <f t="shared" si="37"/>
        <v/>
      </c>
    </row>
    <row r="364" spans="1:17">
      <c r="A364" s="74"/>
      <c r="B364" s="59" t="str">
        <f t="shared" si="33"/>
        <v/>
      </c>
      <c r="C364" s="74"/>
      <c r="D364" s="59" t="str">
        <f t="shared" si="34"/>
        <v/>
      </c>
      <c r="E364" s="75"/>
      <c r="F364" s="59" t="str">
        <f t="shared" si="35"/>
        <v/>
      </c>
      <c r="G364" s="64"/>
      <c r="H364" s="64"/>
      <c r="I364" s="64"/>
      <c r="J364" s="211"/>
      <c r="K364" s="212"/>
      <c r="L364" s="212"/>
      <c r="M364" s="211"/>
      <c r="N364" s="211"/>
      <c r="P364" t="str">
        <f t="shared" si="36"/>
        <v/>
      </c>
      <c r="Q364" t="str">
        <f t="shared" si="37"/>
        <v/>
      </c>
    </row>
    <row r="365" spans="1:17">
      <c r="A365" s="74"/>
      <c r="B365" s="59" t="str">
        <f t="shared" si="33"/>
        <v/>
      </c>
      <c r="C365" s="74"/>
      <c r="D365" s="59" t="str">
        <f t="shared" si="34"/>
        <v/>
      </c>
      <c r="E365" s="75"/>
      <c r="F365" s="59" t="str">
        <f t="shared" si="35"/>
        <v/>
      </c>
      <c r="G365" s="64"/>
      <c r="H365" s="64"/>
      <c r="I365" s="64"/>
      <c r="J365" s="211"/>
      <c r="K365" s="212"/>
      <c r="L365" s="212"/>
      <c r="M365" s="211"/>
      <c r="N365" s="211"/>
      <c r="P365" t="str">
        <f t="shared" si="36"/>
        <v/>
      </c>
      <c r="Q365" t="str">
        <f t="shared" si="37"/>
        <v/>
      </c>
    </row>
    <row r="366" spans="1:17">
      <c r="A366" s="74"/>
      <c r="B366" s="59" t="str">
        <f t="shared" si="33"/>
        <v/>
      </c>
      <c r="C366" s="74"/>
      <c r="D366" s="59" t="str">
        <f t="shared" si="34"/>
        <v/>
      </c>
      <c r="E366" s="75"/>
      <c r="F366" s="59" t="str">
        <f t="shared" si="35"/>
        <v/>
      </c>
      <c r="G366" s="64"/>
      <c r="H366" s="64"/>
      <c r="I366" s="64"/>
      <c r="J366" s="211"/>
      <c r="K366" s="212"/>
      <c r="L366" s="212"/>
      <c r="M366" s="211"/>
      <c r="N366" s="211"/>
      <c r="P366" t="str">
        <f t="shared" si="36"/>
        <v/>
      </c>
      <c r="Q366" t="str">
        <f t="shared" si="37"/>
        <v/>
      </c>
    </row>
    <row r="367" spans="1:17">
      <c r="A367" s="74"/>
      <c r="B367" s="59" t="str">
        <f t="shared" si="33"/>
        <v/>
      </c>
      <c r="C367" s="74"/>
      <c r="D367" s="59" t="str">
        <f t="shared" si="34"/>
        <v/>
      </c>
      <c r="E367" s="75"/>
      <c r="F367" s="59" t="str">
        <f t="shared" si="35"/>
        <v/>
      </c>
      <c r="G367" s="64"/>
      <c r="H367" s="64"/>
      <c r="I367" s="64"/>
      <c r="J367" s="211"/>
      <c r="K367" s="212"/>
      <c r="L367" s="212"/>
      <c r="M367" s="211"/>
      <c r="N367" s="211"/>
      <c r="P367" t="str">
        <f t="shared" si="36"/>
        <v/>
      </c>
      <c r="Q367" t="str">
        <f t="shared" si="37"/>
        <v/>
      </c>
    </row>
    <row r="368" spans="1:17">
      <c r="A368" s="74"/>
      <c r="B368" s="59" t="str">
        <f t="shared" si="33"/>
        <v/>
      </c>
      <c r="C368" s="74"/>
      <c r="D368" s="59" t="str">
        <f t="shared" si="34"/>
        <v/>
      </c>
      <c r="E368" s="75"/>
      <c r="F368" s="59" t="str">
        <f t="shared" si="35"/>
        <v/>
      </c>
      <c r="G368" s="64"/>
      <c r="H368" s="64"/>
      <c r="I368" s="64"/>
      <c r="J368" s="211"/>
      <c r="K368" s="212"/>
      <c r="L368" s="212"/>
      <c r="M368" s="211"/>
      <c r="N368" s="211"/>
      <c r="P368" t="str">
        <f t="shared" si="36"/>
        <v/>
      </c>
      <c r="Q368" t="str">
        <f t="shared" si="37"/>
        <v/>
      </c>
    </row>
    <row r="369" spans="1:17">
      <c r="A369" s="74"/>
      <c r="B369" s="59" t="str">
        <f t="shared" si="33"/>
        <v/>
      </c>
      <c r="C369" s="74"/>
      <c r="D369" s="59" t="str">
        <f t="shared" si="34"/>
        <v/>
      </c>
      <c r="E369" s="75"/>
      <c r="F369" s="59" t="str">
        <f t="shared" si="35"/>
        <v/>
      </c>
      <c r="G369" s="64"/>
      <c r="H369" s="64"/>
      <c r="I369" s="64"/>
      <c r="J369" s="211"/>
      <c r="K369" s="212"/>
      <c r="L369" s="212"/>
      <c r="M369" s="211"/>
      <c r="N369" s="211"/>
      <c r="P369" t="str">
        <f t="shared" si="36"/>
        <v/>
      </c>
      <c r="Q369" t="str">
        <f t="shared" si="37"/>
        <v/>
      </c>
    </row>
    <row r="370" spans="1:17">
      <c r="A370" s="74"/>
      <c r="B370" s="59" t="str">
        <f t="shared" si="33"/>
        <v/>
      </c>
      <c r="C370" s="74"/>
      <c r="D370" s="59" t="str">
        <f t="shared" si="34"/>
        <v/>
      </c>
      <c r="E370" s="75"/>
      <c r="F370" s="59" t="str">
        <f t="shared" si="35"/>
        <v/>
      </c>
      <c r="G370" s="64"/>
      <c r="H370" s="64"/>
      <c r="I370" s="64"/>
      <c r="J370" s="211"/>
      <c r="K370" s="212"/>
      <c r="L370" s="212"/>
      <c r="M370" s="211"/>
      <c r="N370" s="211"/>
      <c r="P370" t="str">
        <f t="shared" si="36"/>
        <v/>
      </c>
      <c r="Q370" t="str">
        <f t="shared" si="37"/>
        <v/>
      </c>
    </row>
    <row r="371" spans="1:17">
      <c r="A371" s="74"/>
      <c r="B371" s="59" t="str">
        <f t="shared" si="33"/>
        <v/>
      </c>
      <c r="C371" s="74"/>
      <c r="D371" s="59" t="str">
        <f t="shared" si="34"/>
        <v/>
      </c>
      <c r="E371" s="75"/>
      <c r="F371" s="59" t="str">
        <f t="shared" si="35"/>
        <v/>
      </c>
      <c r="G371" s="64"/>
      <c r="H371" s="64"/>
      <c r="I371" s="64"/>
      <c r="J371" s="211"/>
      <c r="K371" s="212"/>
      <c r="L371" s="212"/>
      <c r="M371" s="211"/>
      <c r="N371" s="211"/>
      <c r="P371" t="str">
        <f t="shared" si="36"/>
        <v/>
      </c>
      <c r="Q371" t="str">
        <f t="shared" si="37"/>
        <v/>
      </c>
    </row>
    <row r="372" spans="1:17">
      <c r="A372" s="74"/>
      <c r="B372" s="59" t="str">
        <f t="shared" si="33"/>
        <v/>
      </c>
      <c r="C372" s="74"/>
      <c r="D372" s="59" t="str">
        <f t="shared" si="34"/>
        <v/>
      </c>
      <c r="E372" s="75"/>
      <c r="F372" s="59" t="str">
        <f t="shared" si="35"/>
        <v/>
      </c>
      <c r="G372" s="64"/>
      <c r="H372" s="64"/>
      <c r="I372" s="64"/>
      <c r="J372" s="211"/>
      <c r="K372" s="212"/>
      <c r="L372" s="212"/>
      <c r="M372" s="211"/>
      <c r="N372" s="211"/>
      <c r="P372" t="str">
        <f t="shared" si="36"/>
        <v/>
      </c>
      <c r="Q372" t="str">
        <f t="shared" si="37"/>
        <v/>
      </c>
    </row>
    <row r="373" spans="1:17">
      <c r="A373" s="74"/>
      <c r="B373" s="59" t="str">
        <f t="shared" si="33"/>
        <v/>
      </c>
      <c r="C373" s="74"/>
      <c r="D373" s="59" t="str">
        <f t="shared" si="34"/>
        <v/>
      </c>
      <c r="E373" s="75"/>
      <c r="F373" s="59" t="str">
        <f t="shared" si="35"/>
        <v/>
      </c>
      <c r="G373" s="64"/>
      <c r="H373" s="64"/>
      <c r="I373" s="64"/>
      <c r="J373" s="211"/>
      <c r="K373" s="212"/>
      <c r="L373" s="212"/>
      <c r="M373" s="211"/>
      <c r="N373" s="211"/>
      <c r="P373" t="str">
        <f t="shared" si="36"/>
        <v/>
      </c>
      <c r="Q373" t="str">
        <f t="shared" si="37"/>
        <v/>
      </c>
    </row>
    <row r="374" spans="1:17">
      <c r="A374" s="74"/>
      <c r="B374" s="59" t="str">
        <f t="shared" si="33"/>
        <v/>
      </c>
      <c r="C374" s="74"/>
      <c r="D374" s="59" t="str">
        <f t="shared" si="34"/>
        <v/>
      </c>
      <c r="E374" s="75"/>
      <c r="F374" s="59" t="str">
        <f t="shared" si="35"/>
        <v/>
      </c>
      <c r="G374" s="64"/>
      <c r="H374" s="64"/>
      <c r="I374" s="64"/>
      <c r="J374" s="211"/>
      <c r="K374" s="212"/>
      <c r="L374" s="212"/>
      <c r="M374" s="211"/>
      <c r="N374" s="211"/>
      <c r="P374" t="str">
        <f t="shared" si="36"/>
        <v/>
      </c>
      <c r="Q374" t="str">
        <f t="shared" si="37"/>
        <v/>
      </c>
    </row>
    <row r="375" spans="1:17">
      <c r="A375" s="74"/>
      <c r="B375" s="59" t="str">
        <f t="shared" si="33"/>
        <v/>
      </c>
      <c r="C375" s="74"/>
      <c r="D375" s="59" t="str">
        <f t="shared" si="34"/>
        <v/>
      </c>
      <c r="E375" s="75"/>
      <c r="F375" s="59" t="str">
        <f t="shared" si="35"/>
        <v/>
      </c>
      <c r="G375" s="64"/>
      <c r="H375" s="64"/>
      <c r="I375" s="64"/>
      <c r="J375" s="211"/>
      <c r="K375" s="212"/>
      <c r="L375" s="212"/>
      <c r="M375" s="211"/>
      <c r="N375" s="211"/>
      <c r="P375" t="str">
        <f t="shared" si="36"/>
        <v/>
      </c>
      <c r="Q375" t="str">
        <f t="shared" si="37"/>
        <v/>
      </c>
    </row>
    <row r="376" spans="1:17">
      <c r="A376" s="74"/>
      <c r="B376" s="59" t="str">
        <f t="shared" si="33"/>
        <v/>
      </c>
      <c r="C376" s="74"/>
      <c r="D376" s="59" t="str">
        <f t="shared" si="34"/>
        <v/>
      </c>
      <c r="E376" s="75"/>
      <c r="F376" s="59" t="str">
        <f t="shared" si="35"/>
        <v/>
      </c>
      <c r="G376" s="64"/>
      <c r="H376" s="64"/>
      <c r="I376" s="64"/>
      <c r="J376" s="211"/>
      <c r="K376" s="212"/>
      <c r="L376" s="212"/>
      <c r="M376" s="211"/>
      <c r="N376" s="211"/>
      <c r="P376" t="str">
        <f t="shared" si="36"/>
        <v/>
      </c>
      <c r="Q376" t="str">
        <f t="shared" si="37"/>
        <v/>
      </c>
    </row>
    <row r="377" spans="1:17">
      <c r="A377" s="74"/>
      <c r="B377" s="59" t="str">
        <f t="shared" si="33"/>
        <v/>
      </c>
      <c r="C377" s="74"/>
      <c r="D377" s="59" t="str">
        <f t="shared" si="34"/>
        <v/>
      </c>
      <c r="E377" s="75"/>
      <c r="F377" s="59" t="str">
        <f t="shared" si="35"/>
        <v/>
      </c>
      <c r="G377" s="64"/>
      <c r="H377" s="64"/>
      <c r="I377" s="64"/>
      <c r="J377" s="211"/>
      <c r="K377" s="212"/>
      <c r="L377" s="212"/>
      <c r="M377" s="211"/>
      <c r="N377" s="211"/>
      <c r="P377" t="str">
        <f t="shared" si="36"/>
        <v/>
      </c>
      <c r="Q377" t="str">
        <f t="shared" si="37"/>
        <v/>
      </c>
    </row>
    <row r="378" spans="1:17">
      <c r="A378" s="74"/>
      <c r="B378" s="59" t="str">
        <f t="shared" si="33"/>
        <v/>
      </c>
      <c r="C378" s="74"/>
      <c r="D378" s="59" t="str">
        <f t="shared" si="34"/>
        <v/>
      </c>
      <c r="E378" s="75"/>
      <c r="F378" s="59" t="str">
        <f t="shared" si="35"/>
        <v/>
      </c>
      <c r="G378" s="64"/>
      <c r="H378" s="64"/>
      <c r="I378" s="64"/>
      <c r="J378" s="211"/>
      <c r="K378" s="212"/>
      <c r="L378" s="212"/>
      <c r="M378" s="211"/>
      <c r="N378" s="211"/>
      <c r="P378" t="str">
        <f t="shared" si="36"/>
        <v/>
      </c>
      <c r="Q378" t="str">
        <f t="shared" si="37"/>
        <v/>
      </c>
    </row>
    <row r="379" spans="1:17">
      <c r="A379" s="74"/>
      <c r="B379" s="59" t="str">
        <f t="shared" si="33"/>
        <v/>
      </c>
      <c r="C379" s="74"/>
      <c r="D379" s="59" t="str">
        <f t="shared" si="34"/>
        <v/>
      </c>
      <c r="E379" s="75"/>
      <c r="F379" s="59" t="str">
        <f t="shared" si="35"/>
        <v/>
      </c>
      <c r="G379" s="64"/>
      <c r="H379" s="64"/>
      <c r="I379" s="64"/>
      <c r="J379" s="211"/>
      <c r="K379" s="212"/>
      <c r="L379" s="212"/>
      <c r="M379" s="211"/>
      <c r="N379" s="211"/>
      <c r="P379" t="str">
        <f t="shared" si="36"/>
        <v/>
      </c>
      <c r="Q379" t="str">
        <f t="shared" si="37"/>
        <v/>
      </c>
    </row>
    <row r="380" spans="1:17">
      <c r="A380" s="74"/>
      <c r="B380" s="59" t="str">
        <f t="shared" si="33"/>
        <v/>
      </c>
      <c r="C380" s="74"/>
      <c r="D380" s="59" t="str">
        <f t="shared" si="34"/>
        <v/>
      </c>
      <c r="E380" s="75"/>
      <c r="F380" s="59" t="str">
        <f t="shared" si="35"/>
        <v/>
      </c>
      <c r="G380" s="64"/>
      <c r="H380" s="64"/>
      <c r="I380" s="64"/>
      <c r="J380" s="211"/>
      <c r="K380" s="212"/>
      <c r="L380" s="212"/>
      <c r="M380" s="211"/>
      <c r="N380" s="211"/>
      <c r="P380" t="str">
        <f t="shared" si="36"/>
        <v/>
      </c>
      <c r="Q380" t="str">
        <f t="shared" si="37"/>
        <v/>
      </c>
    </row>
    <row r="381" spans="1:17">
      <c r="A381" s="74"/>
      <c r="B381" s="59" t="str">
        <f t="shared" si="33"/>
        <v/>
      </c>
      <c r="C381" s="74"/>
      <c r="D381" s="59" t="str">
        <f t="shared" si="34"/>
        <v/>
      </c>
      <c r="E381" s="75"/>
      <c r="F381" s="59" t="str">
        <f t="shared" si="35"/>
        <v/>
      </c>
      <c r="G381" s="64"/>
      <c r="H381" s="64"/>
      <c r="I381" s="64"/>
      <c r="J381" s="211"/>
      <c r="K381" s="212"/>
      <c r="L381" s="212"/>
      <c r="M381" s="211"/>
      <c r="N381" s="211"/>
      <c r="P381" t="str">
        <f t="shared" si="36"/>
        <v/>
      </c>
      <c r="Q381" t="str">
        <f t="shared" si="37"/>
        <v/>
      </c>
    </row>
    <row r="382" spans="1:17">
      <c r="A382" s="74"/>
      <c r="B382" s="59" t="str">
        <f t="shared" si="33"/>
        <v/>
      </c>
      <c r="C382" s="74"/>
      <c r="D382" s="59" t="str">
        <f t="shared" si="34"/>
        <v/>
      </c>
      <c r="E382" s="75"/>
      <c r="F382" s="59" t="str">
        <f t="shared" si="35"/>
        <v/>
      </c>
      <c r="G382" s="64"/>
      <c r="H382" s="64"/>
      <c r="I382" s="64"/>
      <c r="J382" s="211"/>
      <c r="K382" s="212"/>
      <c r="L382" s="212"/>
      <c r="M382" s="211"/>
      <c r="N382" s="211"/>
      <c r="P382" t="str">
        <f t="shared" si="36"/>
        <v/>
      </c>
      <c r="Q382" t="str">
        <f t="shared" si="37"/>
        <v/>
      </c>
    </row>
    <row r="383" spans="1:17">
      <c r="A383" s="74"/>
      <c r="B383" s="59" t="str">
        <f t="shared" si="33"/>
        <v/>
      </c>
      <c r="C383" s="74"/>
      <c r="D383" s="59" t="str">
        <f t="shared" si="34"/>
        <v/>
      </c>
      <c r="E383" s="75"/>
      <c r="F383" s="59" t="str">
        <f t="shared" si="35"/>
        <v/>
      </c>
      <c r="G383" s="64"/>
      <c r="H383" s="64"/>
      <c r="I383" s="64"/>
      <c r="J383" s="211"/>
      <c r="K383" s="212"/>
      <c r="L383" s="212"/>
      <c r="M383" s="211"/>
      <c r="N383" s="211"/>
      <c r="P383" t="str">
        <f t="shared" si="36"/>
        <v/>
      </c>
      <c r="Q383" t="str">
        <f t="shared" si="37"/>
        <v/>
      </c>
    </row>
    <row r="384" spans="1:17">
      <c r="A384" s="74"/>
      <c r="B384" s="59" t="str">
        <f t="shared" si="33"/>
        <v/>
      </c>
      <c r="C384" s="74"/>
      <c r="D384" s="59" t="str">
        <f t="shared" si="34"/>
        <v/>
      </c>
      <c r="E384" s="75"/>
      <c r="F384" s="59" t="str">
        <f t="shared" si="35"/>
        <v/>
      </c>
      <c r="G384" s="64"/>
      <c r="H384" s="64"/>
      <c r="I384" s="64"/>
      <c r="J384" s="211"/>
      <c r="K384" s="212"/>
      <c r="L384" s="212"/>
      <c r="M384" s="211"/>
      <c r="N384" s="211"/>
      <c r="P384" t="str">
        <f t="shared" si="36"/>
        <v/>
      </c>
      <c r="Q384" t="str">
        <f t="shared" si="37"/>
        <v/>
      </c>
    </row>
    <row r="385" spans="1:17">
      <c r="A385" s="74"/>
      <c r="B385" s="59" t="str">
        <f t="shared" si="33"/>
        <v/>
      </c>
      <c r="C385" s="74"/>
      <c r="D385" s="59" t="str">
        <f t="shared" si="34"/>
        <v/>
      </c>
      <c r="E385" s="75"/>
      <c r="F385" s="59" t="str">
        <f t="shared" si="35"/>
        <v/>
      </c>
      <c r="G385" s="64"/>
      <c r="H385" s="64"/>
      <c r="I385" s="64"/>
      <c r="J385" s="211"/>
      <c r="K385" s="212"/>
      <c r="L385" s="212"/>
      <c r="M385" s="211"/>
      <c r="N385" s="211"/>
      <c r="P385" t="str">
        <f t="shared" si="36"/>
        <v/>
      </c>
      <c r="Q385" t="str">
        <f t="shared" si="37"/>
        <v/>
      </c>
    </row>
    <row r="386" spans="1:17">
      <c r="A386" s="74"/>
      <c r="B386" s="59" t="str">
        <f t="shared" si="33"/>
        <v/>
      </c>
      <c r="C386" s="74"/>
      <c r="D386" s="59" t="str">
        <f t="shared" si="34"/>
        <v/>
      </c>
      <c r="E386" s="75"/>
      <c r="F386" s="59" t="str">
        <f t="shared" si="35"/>
        <v/>
      </c>
      <c r="G386" s="64"/>
      <c r="H386" s="64"/>
      <c r="I386" s="64"/>
      <c r="J386" s="211"/>
      <c r="K386" s="212"/>
      <c r="L386" s="212"/>
      <c r="M386" s="211"/>
      <c r="N386" s="211"/>
      <c r="P386" t="str">
        <f t="shared" si="36"/>
        <v/>
      </c>
      <c r="Q386" t="str">
        <f t="shared" si="37"/>
        <v/>
      </c>
    </row>
    <row r="387" spans="1:17">
      <c r="A387" s="74"/>
      <c r="B387" s="59" t="str">
        <f t="shared" ref="B387:B450" si="38">IFERROR(VLOOKUP(A387,$R$6:$S$16,2,0),"")</f>
        <v/>
      </c>
      <c r="C387" s="74"/>
      <c r="D387" s="59" t="str">
        <f t="shared" ref="D387:D450" si="39">IFERROR(VLOOKUP(C387,$U$5:$W$129,2,0),"")</f>
        <v/>
      </c>
      <c r="E387" s="75"/>
      <c r="F387" s="59" t="str">
        <f t="shared" ref="F387:F450" si="40">IFERROR(VLOOKUP(E387,$AA$6:$AB$200,2,0),"")</f>
        <v/>
      </c>
      <c r="G387" s="64"/>
      <c r="H387" s="64"/>
      <c r="I387" s="64"/>
      <c r="J387" s="211"/>
      <c r="K387" s="212"/>
      <c r="L387" s="212"/>
      <c r="M387" s="211"/>
      <c r="N387" s="211"/>
      <c r="P387" t="str">
        <f t="shared" ref="P387:P450" si="41">LEFT(C387,3)</f>
        <v/>
      </c>
      <c r="Q387" t="str">
        <f t="shared" ref="Q387:Q450" si="42">LEFT(C387,2)</f>
        <v/>
      </c>
    </row>
    <row r="388" spans="1:17">
      <c r="A388" s="74"/>
      <c r="B388" s="59" t="str">
        <f t="shared" si="38"/>
        <v/>
      </c>
      <c r="C388" s="74"/>
      <c r="D388" s="59" t="str">
        <f t="shared" si="39"/>
        <v/>
      </c>
      <c r="E388" s="75"/>
      <c r="F388" s="59" t="str">
        <f t="shared" si="40"/>
        <v/>
      </c>
      <c r="G388" s="64"/>
      <c r="H388" s="64"/>
      <c r="I388" s="64"/>
      <c r="J388" s="211"/>
      <c r="K388" s="212"/>
      <c r="L388" s="212"/>
      <c r="M388" s="211"/>
      <c r="N388" s="211"/>
      <c r="P388" t="str">
        <f t="shared" si="41"/>
        <v/>
      </c>
      <c r="Q388" t="str">
        <f t="shared" si="42"/>
        <v/>
      </c>
    </row>
    <row r="389" spans="1:17">
      <c r="A389" s="74"/>
      <c r="B389" s="59" t="str">
        <f t="shared" si="38"/>
        <v/>
      </c>
      <c r="C389" s="74"/>
      <c r="D389" s="59" t="str">
        <f t="shared" si="39"/>
        <v/>
      </c>
      <c r="E389" s="75"/>
      <c r="F389" s="59" t="str">
        <f t="shared" si="40"/>
        <v/>
      </c>
      <c r="G389" s="64"/>
      <c r="H389" s="64"/>
      <c r="I389" s="64"/>
      <c r="J389" s="211"/>
      <c r="K389" s="212"/>
      <c r="L389" s="212"/>
      <c r="M389" s="211"/>
      <c r="N389" s="211"/>
      <c r="P389" t="str">
        <f t="shared" si="41"/>
        <v/>
      </c>
      <c r="Q389" t="str">
        <f t="shared" si="42"/>
        <v/>
      </c>
    </row>
    <row r="390" spans="1:17">
      <c r="A390" s="74"/>
      <c r="B390" s="59" t="str">
        <f t="shared" si="38"/>
        <v/>
      </c>
      <c r="C390" s="74"/>
      <c r="D390" s="59" t="str">
        <f t="shared" si="39"/>
        <v/>
      </c>
      <c r="E390" s="75"/>
      <c r="F390" s="59" t="str">
        <f t="shared" si="40"/>
        <v/>
      </c>
      <c r="G390" s="64"/>
      <c r="H390" s="64"/>
      <c r="I390" s="64"/>
      <c r="J390" s="211"/>
      <c r="K390" s="212"/>
      <c r="L390" s="212"/>
      <c r="M390" s="211"/>
      <c r="N390" s="211"/>
      <c r="P390" t="str">
        <f t="shared" si="41"/>
        <v/>
      </c>
      <c r="Q390" t="str">
        <f t="shared" si="42"/>
        <v/>
      </c>
    </row>
    <row r="391" spans="1:17">
      <c r="A391" s="74"/>
      <c r="B391" s="59" t="str">
        <f t="shared" si="38"/>
        <v/>
      </c>
      <c r="C391" s="74"/>
      <c r="D391" s="59" t="str">
        <f t="shared" si="39"/>
        <v/>
      </c>
      <c r="E391" s="75"/>
      <c r="F391" s="59" t="str">
        <f t="shared" si="40"/>
        <v/>
      </c>
      <c r="G391" s="64"/>
      <c r="H391" s="64"/>
      <c r="I391" s="64"/>
      <c r="J391" s="211"/>
      <c r="K391" s="212"/>
      <c r="L391" s="212"/>
      <c r="M391" s="211"/>
      <c r="N391" s="211"/>
      <c r="P391" t="str">
        <f t="shared" si="41"/>
        <v/>
      </c>
      <c r="Q391" t="str">
        <f t="shared" si="42"/>
        <v/>
      </c>
    </row>
    <row r="392" spans="1:17">
      <c r="A392" s="74"/>
      <c r="B392" s="59" t="str">
        <f t="shared" si="38"/>
        <v/>
      </c>
      <c r="C392" s="74"/>
      <c r="D392" s="59" t="str">
        <f t="shared" si="39"/>
        <v/>
      </c>
      <c r="E392" s="75"/>
      <c r="F392" s="59" t="str">
        <f t="shared" si="40"/>
        <v/>
      </c>
      <c r="G392" s="64"/>
      <c r="H392" s="64"/>
      <c r="I392" s="64"/>
      <c r="J392" s="211"/>
      <c r="K392" s="212"/>
      <c r="L392" s="212"/>
      <c r="M392" s="211"/>
      <c r="N392" s="211"/>
      <c r="P392" t="str">
        <f t="shared" si="41"/>
        <v/>
      </c>
      <c r="Q392" t="str">
        <f t="shared" si="42"/>
        <v/>
      </c>
    </row>
    <row r="393" spans="1:17">
      <c r="A393" s="74"/>
      <c r="B393" s="59" t="str">
        <f t="shared" si="38"/>
        <v/>
      </c>
      <c r="C393" s="74"/>
      <c r="D393" s="59" t="str">
        <f t="shared" si="39"/>
        <v/>
      </c>
      <c r="E393" s="75"/>
      <c r="F393" s="59" t="str">
        <f t="shared" si="40"/>
        <v/>
      </c>
      <c r="G393" s="64"/>
      <c r="H393" s="64"/>
      <c r="I393" s="64"/>
      <c r="J393" s="211"/>
      <c r="K393" s="212"/>
      <c r="L393" s="212"/>
      <c r="M393" s="211"/>
      <c r="N393" s="211"/>
      <c r="P393" t="str">
        <f t="shared" si="41"/>
        <v/>
      </c>
      <c r="Q393" t="str">
        <f t="shared" si="42"/>
        <v/>
      </c>
    </row>
    <row r="394" spans="1:17">
      <c r="A394" s="74"/>
      <c r="B394" s="59" t="str">
        <f t="shared" si="38"/>
        <v/>
      </c>
      <c r="C394" s="74"/>
      <c r="D394" s="59" t="str">
        <f t="shared" si="39"/>
        <v/>
      </c>
      <c r="E394" s="75"/>
      <c r="F394" s="59" t="str">
        <f t="shared" si="40"/>
        <v/>
      </c>
      <c r="G394" s="64"/>
      <c r="H394" s="64"/>
      <c r="I394" s="64"/>
      <c r="J394" s="211"/>
      <c r="K394" s="212"/>
      <c r="L394" s="212"/>
      <c r="M394" s="211"/>
      <c r="N394" s="211"/>
      <c r="P394" t="str">
        <f t="shared" si="41"/>
        <v/>
      </c>
      <c r="Q394" t="str">
        <f t="shared" si="42"/>
        <v/>
      </c>
    </row>
    <row r="395" spans="1:17">
      <c r="A395" s="74"/>
      <c r="B395" s="59" t="str">
        <f t="shared" si="38"/>
        <v/>
      </c>
      <c r="C395" s="74"/>
      <c r="D395" s="59" t="str">
        <f t="shared" si="39"/>
        <v/>
      </c>
      <c r="E395" s="75"/>
      <c r="F395" s="59" t="str">
        <f t="shared" si="40"/>
        <v/>
      </c>
      <c r="G395" s="64"/>
      <c r="H395" s="64"/>
      <c r="I395" s="64"/>
      <c r="J395" s="211"/>
      <c r="K395" s="212"/>
      <c r="L395" s="212"/>
      <c r="M395" s="211"/>
      <c r="N395" s="211"/>
      <c r="P395" t="str">
        <f t="shared" si="41"/>
        <v/>
      </c>
      <c r="Q395" t="str">
        <f t="shared" si="42"/>
        <v/>
      </c>
    </row>
    <row r="396" spans="1:17">
      <c r="A396" s="74"/>
      <c r="B396" s="59" t="str">
        <f t="shared" si="38"/>
        <v/>
      </c>
      <c r="C396" s="74"/>
      <c r="D396" s="59" t="str">
        <f t="shared" si="39"/>
        <v/>
      </c>
      <c r="E396" s="75"/>
      <c r="F396" s="59" t="str">
        <f t="shared" si="40"/>
        <v/>
      </c>
      <c r="G396" s="64"/>
      <c r="H396" s="64"/>
      <c r="I396" s="64"/>
      <c r="J396" s="211"/>
      <c r="K396" s="212"/>
      <c r="L396" s="212"/>
      <c r="M396" s="211"/>
      <c r="N396" s="211"/>
      <c r="P396" t="str">
        <f t="shared" si="41"/>
        <v/>
      </c>
      <c r="Q396" t="str">
        <f t="shared" si="42"/>
        <v/>
      </c>
    </row>
    <row r="397" spans="1:17">
      <c r="A397" s="74"/>
      <c r="B397" s="59" t="str">
        <f t="shared" si="38"/>
        <v/>
      </c>
      <c r="C397" s="74"/>
      <c r="D397" s="59" t="str">
        <f t="shared" si="39"/>
        <v/>
      </c>
      <c r="E397" s="75"/>
      <c r="F397" s="59" t="str">
        <f t="shared" si="40"/>
        <v/>
      </c>
      <c r="G397" s="64"/>
      <c r="H397" s="64"/>
      <c r="I397" s="64"/>
      <c r="J397" s="211"/>
      <c r="K397" s="212"/>
      <c r="L397" s="212"/>
      <c r="M397" s="211"/>
      <c r="N397" s="211"/>
      <c r="P397" t="str">
        <f t="shared" si="41"/>
        <v/>
      </c>
      <c r="Q397" t="str">
        <f t="shared" si="42"/>
        <v/>
      </c>
    </row>
    <row r="398" spans="1:17">
      <c r="A398" s="74"/>
      <c r="B398" s="59" t="str">
        <f t="shared" si="38"/>
        <v/>
      </c>
      <c r="C398" s="74"/>
      <c r="D398" s="59" t="str">
        <f t="shared" si="39"/>
        <v/>
      </c>
      <c r="E398" s="75"/>
      <c r="F398" s="59" t="str">
        <f t="shared" si="40"/>
        <v/>
      </c>
      <c r="G398" s="64"/>
      <c r="H398" s="64"/>
      <c r="I398" s="64"/>
      <c r="J398" s="211"/>
      <c r="K398" s="212"/>
      <c r="L398" s="212"/>
      <c r="M398" s="211"/>
      <c r="N398" s="211"/>
      <c r="P398" t="str">
        <f t="shared" si="41"/>
        <v/>
      </c>
      <c r="Q398" t="str">
        <f t="shared" si="42"/>
        <v/>
      </c>
    </row>
    <row r="399" spans="1:17">
      <c r="A399" s="74"/>
      <c r="B399" s="59" t="str">
        <f t="shared" si="38"/>
        <v/>
      </c>
      <c r="C399" s="74"/>
      <c r="D399" s="59" t="str">
        <f t="shared" si="39"/>
        <v/>
      </c>
      <c r="E399" s="75"/>
      <c r="F399" s="59" t="str">
        <f t="shared" si="40"/>
        <v/>
      </c>
      <c r="G399" s="64"/>
      <c r="H399" s="64"/>
      <c r="I399" s="64"/>
      <c r="J399" s="211"/>
      <c r="K399" s="212"/>
      <c r="L399" s="212"/>
      <c r="M399" s="211"/>
      <c r="N399" s="211"/>
      <c r="P399" t="str">
        <f t="shared" si="41"/>
        <v/>
      </c>
      <c r="Q399" t="str">
        <f t="shared" si="42"/>
        <v/>
      </c>
    </row>
    <row r="400" spans="1:17">
      <c r="A400" s="74"/>
      <c r="B400" s="59" t="str">
        <f t="shared" si="38"/>
        <v/>
      </c>
      <c r="C400" s="74"/>
      <c r="D400" s="59" t="str">
        <f t="shared" si="39"/>
        <v/>
      </c>
      <c r="E400" s="75"/>
      <c r="F400" s="59" t="str">
        <f t="shared" si="40"/>
        <v/>
      </c>
      <c r="G400" s="64"/>
      <c r="H400" s="64"/>
      <c r="I400" s="64"/>
      <c r="J400" s="211"/>
      <c r="K400" s="212"/>
      <c r="L400" s="212"/>
      <c r="M400" s="211"/>
      <c r="N400" s="211"/>
      <c r="P400" t="str">
        <f t="shared" si="41"/>
        <v/>
      </c>
      <c r="Q400" t="str">
        <f t="shared" si="42"/>
        <v/>
      </c>
    </row>
    <row r="401" spans="1:17">
      <c r="A401" s="74"/>
      <c r="B401" s="59" t="str">
        <f t="shared" si="38"/>
        <v/>
      </c>
      <c r="C401" s="74"/>
      <c r="D401" s="59" t="str">
        <f t="shared" si="39"/>
        <v/>
      </c>
      <c r="E401" s="75"/>
      <c r="F401" s="59" t="str">
        <f t="shared" si="40"/>
        <v/>
      </c>
      <c r="G401" s="64"/>
      <c r="H401" s="64"/>
      <c r="I401" s="64"/>
      <c r="J401" s="211"/>
      <c r="K401" s="212"/>
      <c r="L401" s="212"/>
      <c r="M401" s="211"/>
      <c r="N401" s="211"/>
      <c r="P401" t="str">
        <f t="shared" si="41"/>
        <v/>
      </c>
      <c r="Q401" t="str">
        <f t="shared" si="42"/>
        <v/>
      </c>
    </row>
    <row r="402" spans="1:17">
      <c r="A402" s="74"/>
      <c r="B402" s="59" t="str">
        <f t="shared" si="38"/>
        <v/>
      </c>
      <c r="C402" s="74"/>
      <c r="D402" s="59" t="str">
        <f t="shared" si="39"/>
        <v/>
      </c>
      <c r="E402" s="75"/>
      <c r="F402" s="59" t="str">
        <f t="shared" si="40"/>
        <v/>
      </c>
      <c r="G402" s="64"/>
      <c r="H402" s="64"/>
      <c r="I402" s="64"/>
      <c r="J402" s="211"/>
      <c r="K402" s="212"/>
      <c r="L402" s="212"/>
      <c r="M402" s="211"/>
      <c r="N402" s="211"/>
      <c r="P402" t="str">
        <f t="shared" si="41"/>
        <v/>
      </c>
      <c r="Q402" t="str">
        <f t="shared" si="42"/>
        <v/>
      </c>
    </row>
    <row r="403" spans="1:17">
      <c r="A403" s="74"/>
      <c r="B403" s="59" t="str">
        <f t="shared" si="38"/>
        <v/>
      </c>
      <c r="C403" s="74"/>
      <c r="D403" s="59" t="str">
        <f t="shared" si="39"/>
        <v/>
      </c>
      <c r="E403" s="75"/>
      <c r="F403" s="59" t="str">
        <f t="shared" si="40"/>
        <v/>
      </c>
      <c r="G403" s="64"/>
      <c r="H403" s="64"/>
      <c r="I403" s="64"/>
      <c r="J403" s="211"/>
      <c r="K403" s="212"/>
      <c r="L403" s="212"/>
      <c r="M403" s="211"/>
      <c r="N403" s="211"/>
      <c r="P403" t="str">
        <f t="shared" si="41"/>
        <v/>
      </c>
      <c r="Q403" t="str">
        <f t="shared" si="42"/>
        <v/>
      </c>
    </row>
    <row r="404" spans="1:17">
      <c r="A404" s="74"/>
      <c r="B404" s="59" t="str">
        <f t="shared" si="38"/>
        <v/>
      </c>
      <c r="C404" s="74"/>
      <c r="D404" s="59" t="str">
        <f t="shared" si="39"/>
        <v/>
      </c>
      <c r="E404" s="75"/>
      <c r="F404" s="59" t="str">
        <f t="shared" si="40"/>
        <v/>
      </c>
      <c r="G404" s="64"/>
      <c r="H404" s="64"/>
      <c r="I404" s="64"/>
      <c r="J404" s="211"/>
      <c r="K404" s="212"/>
      <c r="L404" s="212"/>
      <c r="M404" s="211"/>
      <c r="N404" s="211"/>
      <c r="P404" t="str">
        <f t="shared" si="41"/>
        <v/>
      </c>
      <c r="Q404" t="str">
        <f t="shared" si="42"/>
        <v/>
      </c>
    </row>
    <row r="405" spans="1:17">
      <c r="A405" s="74"/>
      <c r="B405" s="59" t="str">
        <f t="shared" si="38"/>
        <v/>
      </c>
      <c r="C405" s="74"/>
      <c r="D405" s="59" t="str">
        <f t="shared" si="39"/>
        <v/>
      </c>
      <c r="E405" s="75"/>
      <c r="F405" s="59" t="str">
        <f t="shared" si="40"/>
        <v/>
      </c>
      <c r="G405" s="64"/>
      <c r="H405" s="64"/>
      <c r="I405" s="64"/>
      <c r="J405" s="211"/>
      <c r="K405" s="212"/>
      <c r="L405" s="212"/>
      <c r="M405" s="211"/>
      <c r="N405" s="211"/>
      <c r="P405" t="str">
        <f t="shared" si="41"/>
        <v/>
      </c>
      <c r="Q405" t="str">
        <f t="shared" si="42"/>
        <v/>
      </c>
    </row>
    <row r="406" spans="1:17">
      <c r="A406" s="74"/>
      <c r="B406" s="59" t="str">
        <f t="shared" si="38"/>
        <v/>
      </c>
      <c r="C406" s="74"/>
      <c r="D406" s="59" t="str">
        <f t="shared" si="39"/>
        <v/>
      </c>
      <c r="E406" s="75"/>
      <c r="F406" s="59" t="str">
        <f t="shared" si="40"/>
        <v/>
      </c>
      <c r="G406" s="64"/>
      <c r="H406" s="64"/>
      <c r="I406" s="64"/>
      <c r="J406" s="211"/>
      <c r="K406" s="212"/>
      <c r="L406" s="212"/>
      <c r="M406" s="211"/>
      <c r="N406" s="211"/>
      <c r="P406" t="str">
        <f t="shared" si="41"/>
        <v/>
      </c>
      <c r="Q406" t="str">
        <f t="shared" si="42"/>
        <v/>
      </c>
    </row>
    <row r="407" spans="1:17">
      <c r="A407" s="74"/>
      <c r="B407" s="59" t="str">
        <f t="shared" si="38"/>
        <v/>
      </c>
      <c r="C407" s="74"/>
      <c r="D407" s="59" t="str">
        <f t="shared" si="39"/>
        <v/>
      </c>
      <c r="E407" s="75"/>
      <c r="F407" s="59" t="str">
        <f t="shared" si="40"/>
        <v/>
      </c>
      <c r="G407" s="64"/>
      <c r="H407" s="64"/>
      <c r="I407" s="64"/>
      <c r="J407" s="211"/>
      <c r="K407" s="212"/>
      <c r="L407" s="212"/>
      <c r="M407" s="211"/>
      <c r="N407" s="211"/>
      <c r="P407" t="str">
        <f t="shared" si="41"/>
        <v/>
      </c>
      <c r="Q407" t="str">
        <f t="shared" si="42"/>
        <v/>
      </c>
    </row>
    <row r="408" spans="1:17">
      <c r="A408" s="74"/>
      <c r="B408" s="59" t="str">
        <f t="shared" si="38"/>
        <v/>
      </c>
      <c r="C408" s="74"/>
      <c r="D408" s="59" t="str">
        <f t="shared" si="39"/>
        <v/>
      </c>
      <c r="E408" s="75"/>
      <c r="F408" s="59" t="str">
        <f t="shared" si="40"/>
        <v/>
      </c>
      <c r="G408" s="64"/>
      <c r="H408" s="64"/>
      <c r="I408" s="64"/>
      <c r="J408" s="211"/>
      <c r="K408" s="212"/>
      <c r="L408" s="212"/>
      <c r="M408" s="211"/>
      <c r="N408" s="211"/>
      <c r="P408" t="str">
        <f t="shared" si="41"/>
        <v/>
      </c>
      <c r="Q408" t="str">
        <f t="shared" si="42"/>
        <v/>
      </c>
    </row>
    <row r="409" spans="1:17">
      <c r="A409" s="74"/>
      <c r="B409" s="59" t="str">
        <f t="shared" si="38"/>
        <v/>
      </c>
      <c r="C409" s="74"/>
      <c r="D409" s="59" t="str">
        <f t="shared" si="39"/>
        <v/>
      </c>
      <c r="E409" s="75"/>
      <c r="F409" s="59" t="str">
        <f t="shared" si="40"/>
        <v/>
      </c>
      <c r="G409" s="64"/>
      <c r="H409" s="64"/>
      <c r="I409" s="64"/>
      <c r="J409" s="211"/>
      <c r="K409" s="212"/>
      <c r="L409" s="212"/>
      <c r="M409" s="211"/>
      <c r="N409" s="211"/>
      <c r="P409" t="str">
        <f t="shared" si="41"/>
        <v/>
      </c>
      <c r="Q409" t="str">
        <f t="shared" si="42"/>
        <v/>
      </c>
    </row>
    <row r="410" spans="1:17">
      <c r="A410" s="74"/>
      <c r="B410" s="59" t="str">
        <f t="shared" si="38"/>
        <v/>
      </c>
      <c r="C410" s="74"/>
      <c r="D410" s="59" t="str">
        <f t="shared" si="39"/>
        <v/>
      </c>
      <c r="E410" s="75"/>
      <c r="F410" s="59" t="str">
        <f t="shared" si="40"/>
        <v/>
      </c>
      <c r="G410" s="64"/>
      <c r="H410" s="64"/>
      <c r="I410" s="64"/>
      <c r="J410" s="211"/>
      <c r="K410" s="212"/>
      <c r="L410" s="212"/>
      <c r="M410" s="211"/>
      <c r="N410" s="211"/>
      <c r="P410" t="str">
        <f t="shared" si="41"/>
        <v/>
      </c>
      <c r="Q410" t="str">
        <f t="shared" si="42"/>
        <v/>
      </c>
    </row>
    <row r="411" spans="1:17">
      <c r="A411" s="74"/>
      <c r="B411" s="59" t="str">
        <f t="shared" si="38"/>
        <v/>
      </c>
      <c r="C411" s="74"/>
      <c r="D411" s="59" t="str">
        <f t="shared" si="39"/>
        <v/>
      </c>
      <c r="E411" s="75"/>
      <c r="F411" s="59" t="str">
        <f t="shared" si="40"/>
        <v/>
      </c>
      <c r="G411" s="64"/>
      <c r="H411" s="64"/>
      <c r="I411" s="64"/>
      <c r="J411" s="211"/>
      <c r="K411" s="212"/>
      <c r="L411" s="212"/>
      <c r="M411" s="211"/>
      <c r="N411" s="211"/>
      <c r="P411" t="str">
        <f t="shared" si="41"/>
        <v/>
      </c>
      <c r="Q411" t="str">
        <f t="shared" si="42"/>
        <v/>
      </c>
    </row>
    <row r="412" spans="1:17">
      <c r="A412" s="74"/>
      <c r="B412" s="59" t="str">
        <f t="shared" si="38"/>
        <v/>
      </c>
      <c r="C412" s="74"/>
      <c r="D412" s="59" t="str">
        <f t="shared" si="39"/>
        <v/>
      </c>
      <c r="E412" s="75"/>
      <c r="F412" s="59" t="str">
        <f t="shared" si="40"/>
        <v/>
      </c>
      <c r="G412" s="64"/>
      <c r="H412" s="64"/>
      <c r="I412" s="64"/>
      <c r="J412" s="211"/>
      <c r="K412" s="212"/>
      <c r="L412" s="212"/>
      <c r="M412" s="211"/>
      <c r="N412" s="211"/>
      <c r="P412" t="str">
        <f t="shared" si="41"/>
        <v/>
      </c>
      <c r="Q412" t="str">
        <f t="shared" si="42"/>
        <v/>
      </c>
    </row>
    <row r="413" spans="1:17">
      <c r="A413" s="74"/>
      <c r="B413" s="59" t="str">
        <f t="shared" si="38"/>
        <v/>
      </c>
      <c r="C413" s="74"/>
      <c r="D413" s="59" t="str">
        <f t="shared" si="39"/>
        <v/>
      </c>
      <c r="E413" s="75"/>
      <c r="F413" s="59" t="str">
        <f t="shared" si="40"/>
        <v/>
      </c>
      <c r="G413" s="64"/>
      <c r="H413" s="64"/>
      <c r="I413" s="64"/>
      <c r="J413" s="211"/>
      <c r="K413" s="212"/>
      <c r="L413" s="212"/>
      <c r="M413" s="211"/>
      <c r="N413" s="211"/>
      <c r="P413" t="str">
        <f t="shared" si="41"/>
        <v/>
      </c>
      <c r="Q413" t="str">
        <f t="shared" si="42"/>
        <v/>
      </c>
    </row>
    <row r="414" spans="1:17">
      <c r="A414" s="74"/>
      <c r="B414" s="59" t="str">
        <f t="shared" si="38"/>
        <v/>
      </c>
      <c r="C414" s="74"/>
      <c r="D414" s="59" t="str">
        <f t="shared" si="39"/>
        <v/>
      </c>
      <c r="E414" s="75"/>
      <c r="F414" s="59" t="str">
        <f t="shared" si="40"/>
        <v/>
      </c>
      <c r="G414" s="64"/>
      <c r="H414" s="64"/>
      <c r="I414" s="64"/>
      <c r="J414" s="211"/>
      <c r="K414" s="212"/>
      <c r="L414" s="212"/>
      <c r="M414" s="211"/>
      <c r="N414" s="211"/>
      <c r="P414" t="str">
        <f t="shared" si="41"/>
        <v/>
      </c>
      <c r="Q414" t="str">
        <f t="shared" si="42"/>
        <v/>
      </c>
    </row>
    <row r="415" spans="1:17">
      <c r="A415" s="74"/>
      <c r="B415" s="59" t="str">
        <f t="shared" si="38"/>
        <v/>
      </c>
      <c r="C415" s="74"/>
      <c r="D415" s="59" t="str">
        <f t="shared" si="39"/>
        <v/>
      </c>
      <c r="E415" s="75"/>
      <c r="F415" s="59" t="str">
        <f t="shared" si="40"/>
        <v/>
      </c>
      <c r="G415" s="64"/>
      <c r="H415" s="64"/>
      <c r="I415" s="64"/>
      <c r="J415" s="211"/>
      <c r="K415" s="212"/>
      <c r="L415" s="212"/>
      <c r="M415" s="211"/>
      <c r="N415" s="211"/>
      <c r="P415" t="str">
        <f t="shared" si="41"/>
        <v/>
      </c>
      <c r="Q415" t="str">
        <f t="shared" si="42"/>
        <v/>
      </c>
    </row>
    <row r="416" spans="1:17">
      <c r="A416" s="74"/>
      <c r="B416" s="59" t="str">
        <f t="shared" si="38"/>
        <v/>
      </c>
      <c r="C416" s="74"/>
      <c r="D416" s="59" t="str">
        <f t="shared" si="39"/>
        <v/>
      </c>
      <c r="E416" s="75"/>
      <c r="F416" s="59" t="str">
        <f t="shared" si="40"/>
        <v/>
      </c>
      <c r="G416" s="64"/>
      <c r="H416" s="64"/>
      <c r="I416" s="64"/>
      <c r="J416" s="211"/>
      <c r="K416" s="212"/>
      <c r="L416" s="212"/>
      <c r="M416" s="211"/>
      <c r="N416" s="211"/>
      <c r="P416" t="str">
        <f t="shared" si="41"/>
        <v/>
      </c>
      <c r="Q416" t="str">
        <f t="shared" si="42"/>
        <v/>
      </c>
    </row>
    <row r="417" spans="1:17">
      <c r="A417" s="74"/>
      <c r="B417" s="59" t="str">
        <f t="shared" si="38"/>
        <v/>
      </c>
      <c r="C417" s="74"/>
      <c r="D417" s="59" t="str">
        <f t="shared" si="39"/>
        <v/>
      </c>
      <c r="E417" s="75"/>
      <c r="F417" s="59" t="str">
        <f t="shared" si="40"/>
        <v/>
      </c>
      <c r="G417" s="64"/>
      <c r="H417" s="64"/>
      <c r="I417" s="64"/>
      <c r="J417" s="211"/>
      <c r="K417" s="212"/>
      <c r="L417" s="212"/>
      <c r="M417" s="211"/>
      <c r="N417" s="211"/>
      <c r="P417" t="str">
        <f t="shared" si="41"/>
        <v/>
      </c>
      <c r="Q417" t="str">
        <f t="shared" si="42"/>
        <v/>
      </c>
    </row>
    <row r="418" spans="1:17">
      <c r="A418" s="74"/>
      <c r="B418" s="59" t="str">
        <f t="shared" si="38"/>
        <v/>
      </c>
      <c r="C418" s="74"/>
      <c r="D418" s="59" t="str">
        <f t="shared" si="39"/>
        <v/>
      </c>
      <c r="E418" s="75"/>
      <c r="F418" s="59" t="str">
        <f t="shared" si="40"/>
        <v/>
      </c>
      <c r="G418" s="64"/>
      <c r="H418" s="64"/>
      <c r="I418" s="64"/>
      <c r="J418" s="211"/>
      <c r="K418" s="212"/>
      <c r="L418" s="212"/>
      <c r="M418" s="211"/>
      <c r="N418" s="211"/>
      <c r="P418" t="str">
        <f t="shared" si="41"/>
        <v/>
      </c>
      <c r="Q418" t="str">
        <f t="shared" si="42"/>
        <v/>
      </c>
    </row>
    <row r="419" spans="1:17">
      <c r="A419" s="74"/>
      <c r="B419" s="59" t="str">
        <f t="shared" si="38"/>
        <v/>
      </c>
      <c r="C419" s="74"/>
      <c r="D419" s="59" t="str">
        <f t="shared" si="39"/>
        <v/>
      </c>
      <c r="E419" s="75"/>
      <c r="F419" s="59" t="str">
        <f t="shared" si="40"/>
        <v/>
      </c>
      <c r="G419" s="64"/>
      <c r="H419" s="64"/>
      <c r="I419" s="64"/>
      <c r="J419" s="211"/>
      <c r="K419" s="212"/>
      <c r="L419" s="212"/>
      <c r="M419" s="211"/>
      <c r="N419" s="211"/>
      <c r="P419" t="str">
        <f t="shared" si="41"/>
        <v/>
      </c>
      <c r="Q419" t="str">
        <f t="shared" si="42"/>
        <v/>
      </c>
    </row>
    <row r="420" spans="1:17">
      <c r="A420" s="74"/>
      <c r="B420" s="59" t="str">
        <f t="shared" si="38"/>
        <v/>
      </c>
      <c r="C420" s="74"/>
      <c r="D420" s="59" t="str">
        <f t="shared" si="39"/>
        <v/>
      </c>
      <c r="E420" s="75"/>
      <c r="F420" s="59" t="str">
        <f t="shared" si="40"/>
        <v/>
      </c>
      <c r="G420" s="64"/>
      <c r="H420" s="64"/>
      <c r="I420" s="64"/>
      <c r="J420" s="211"/>
      <c r="K420" s="212"/>
      <c r="L420" s="212"/>
      <c r="M420" s="211"/>
      <c r="N420" s="211"/>
      <c r="P420" t="str">
        <f t="shared" si="41"/>
        <v/>
      </c>
      <c r="Q420" t="str">
        <f t="shared" si="42"/>
        <v/>
      </c>
    </row>
    <row r="421" spans="1:17">
      <c r="A421" s="74"/>
      <c r="B421" s="59" t="str">
        <f t="shared" si="38"/>
        <v/>
      </c>
      <c r="C421" s="74"/>
      <c r="D421" s="59" t="str">
        <f t="shared" si="39"/>
        <v/>
      </c>
      <c r="E421" s="75"/>
      <c r="F421" s="59" t="str">
        <f t="shared" si="40"/>
        <v/>
      </c>
      <c r="G421" s="64"/>
      <c r="H421" s="64"/>
      <c r="I421" s="64"/>
      <c r="J421" s="211"/>
      <c r="K421" s="212"/>
      <c r="L421" s="212"/>
      <c r="M421" s="211"/>
      <c r="N421" s="211"/>
      <c r="P421" t="str">
        <f t="shared" si="41"/>
        <v/>
      </c>
      <c r="Q421" t="str">
        <f t="shared" si="42"/>
        <v/>
      </c>
    </row>
    <row r="422" spans="1:17">
      <c r="A422" s="74"/>
      <c r="B422" s="59" t="str">
        <f t="shared" si="38"/>
        <v/>
      </c>
      <c r="C422" s="74"/>
      <c r="D422" s="59" t="str">
        <f t="shared" si="39"/>
        <v/>
      </c>
      <c r="E422" s="75"/>
      <c r="F422" s="59" t="str">
        <f t="shared" si="40"/>
        <v/>
      </c>
      <c r="G422" s="64"/>
      <c r="H422" s="64"/>
      <c r="I422" s="64"/>
      <c r="J422" s="211"/>
      <c r="K422" s="212"/>
      <c r="L422" s="212"/>
      <c r="M422" s="211"/>
      <c r="N422" s="211"/>
      <c r="P422" t="str">
        <f t="shared" si="41"/>
        <v/>
      </c>
      <c r="Q422" t="str">
        <f t="shared" si="42"/>
        <v/>
      </c>
    </row>
    <row r="423" spans="1:17">
      <c r="A423" s="74"/>
      <c r="B423" s="59" t="str">
        <f t="shared" si="38"/>
        <v/>
      </c>
      <c r="C423" s="74"/>
      <c r="D423" s="59" t="str">
        <f t="shared" si="39"/>
        <v/>
      </c>
      <c r="E423" s="75"/>
      <c r="F423" s="59" t="str">
        <f t="shared" si="40"/>
        <v/>
      </c>
      <c r="G423" s="64"/>
      <c r="H423" s="64"/>
      <c r="I423" s="64"/>
      <c r="J423" s="211"/>
      <c r="K423" s="212"/>
      <c r="L423" s="212"/>
      <c r="M423" s="211"/>
      <c r="N423" s="211"/>
      <c r="P423" t="str">
        <f t="shared" si="41"/>
        <v/>
      </c>
      <c r="Q423" t="str">
        <f t="shared" si="42"/>
        <v/>
      </c>
    </row>
    <row r="424" spans="1:17">
      <c r="A424" s="74"/>
      <c r="B424" s="59" t="str">
        <f t="shared" si="38"/>
        <v/>
      </c>
      <c r="C424" s="74"/>
      <c r="D424" s="59" t="str">
        <f t="shared" si="39"/>
        <v/>
      </c>
      <c r="E424" s="75"/>
      <c r="F424" s="59" t="str">
        <f t="shared" si="40"/>
        <v/>
      </c>
      <c r="G424" s="64"/>
      <c r="H424" s="64"/>
      <c r="I424" s="64"/>
      <c r="J424" s="211"/>
      <c r="K424" s="212"/>
      <c r="L424" s="212"/>
      <c r="M424" s="211"/>
      <c r="N424" s="211"/>
      <c r="P424" t="str">
        <f t="shared" si="41"/>
        <v/>
      </c>
      <c r="Q424" t="str">
        <f t="shared" si="42"/>
        <v/>
      </c>
    </row>
    <row r="425" spans="1:17">
      <c r="A425" s="74"/>
      <c r="B425" s="59" t="str">
        <f t="shared" si="38"/>
        <v/>
      </c>
      <c r="C425" s="74"/>
      <c r="D425" s="59" t="str">
        <f t="shared" si="39"/>
        <v/>
      </c>
      <c r="E425" s="75"/>
      <c r="F425" s="59" t="str">
        <f t="shared" si="40"/>
        <v/>
      </c>
      <c r="G425" s="64"/>
      <c r="H425" s="64"/>
      <c r="I425" s="64"/>
      <c r="J425" s="211"/>
      <c r="K425" s="212"/>
      <c r="L425" s="212"/>
      <c r="M425" s="211"/>
      <c r="N425" s="211"/>
      <c r="P425" t="str">
        <f t="shared" si="41"/>
        <v/>
      </c>
      <c r="Q425" t="str">
        <f t="shared" si="42"/>
        <v/>
      </c>
    </row>
    <row r="426" spans="1:17">
      <c r="A426" s="74"/>
      <c r="B426" s="59" t="str">
        <f t="shared" si="38"/>
        <v/>
      </c>
      <c r="C426" s="74"/>
      <c r="D426" s="59" t="str">
        <f t="shared" si="39"/>
        <v/>
      </c>
      <c r="E426" s="75"/>
      <c r="F426" s="59" t="str">
        <f t="shared" si="40"/>
        <v/>
      </c>
      <c r="G426" s="64"/>
      <c r="H426" s="64"/>
      <c r="I426" s="64"/>
      <c r="J426" s="211"/>
      <c r="K426" s="212"/>
      <c r="L426" s="212"/>
      <c r="M426" s="211"/>
      <c r="N426" s="211"/>
      <c r="P426" t="str">
        <f t="shared" si="41"/>
        <v/>
      </c>
      <c r="Q426" t="str">
        <f t="shared" si="42"/>
        <v/>
      </c>
    </row>
    <row r="427" spans="1:17">
      <c r="A427" s="74"/>
      <c r="B427" s="59" t="str">
        <f t="shared" si="38"/>
        <v/>
      </c>
      <c r="C427" s="74"/>
      <c r="D427" s="59" t="str">
        <f t="shared" si="39"/>
        <v/>
      </c>
      <c r="E427" s="75"/>
      <c r="F427" s="59" t="str">
        <f t="shared" si="40"/>
        <v/>
      </c>
      <c r="G427" s="64"/>
      <c r="H427" s="64"/>
      <c r="I427" s="64"/>
      <c r="J427" s="211"/>
      <c r="K427" s="212"/>
      <c r="L427" s="212"/>
      <c r="M427" s="211"/>
      <c r="N427" s="211"/>
      <c r="P427" t="str">
        <f t="shared" si="41"/>
        <v/>
      </c>
      <c r="Q427" t="str">
        <f t="shared" si="42"/>
        <v/>
      </c>
    </row>
    <row r="428" spans="1:17">
      <c r="A428" s="74"/>
      <c r="B428" s="59" t="str">
        <f t="shared" si="38"/>
        <v/>
      </c>
      <c r="C428" s="74"/>
      <c r="D428" s="59" t="str">
        <f t="shared" si="39"/>
        <v/>
      </c>
      <c r="E428" s="75"/>
      <c r="F428" s="59" t="str">
        <f t="shared" si="40"/>
        <v/>
      </c>
      <c r="G428" s="64"/>
      <c r="H428" s="64"/>
      <c r="I428" s="64"/>
      <c r="J428" s="211"/>
      <c r="K428" s="212"/>
      <c r="L428" s="212"/>
      <c r="M428" s="211"/>
      <c r="N428" s="211"/>
      <c r="P428" t="str">
        <f t="shared" si="41"/>
        <v/>
      </c>
      <c r="Q428" t="str">
        <f t="shared" si="42"/>
        <v/>
      </c>
    </row>
    <row r="429" spans="1:17">
      <c r="A429" s="74"/>
      <c r="B429" s="59" t="str">
        <f t="shared" si="38"/>
        <v/>
      </c>
      <c r="C429" s="74"/>
      <c r="D429" s="59" t="str">
        <f t="shared" si="39"/>
        <v/>
      </c>
      <c r="E429" s="75"/>
      <c r="F429" s="59" t="str">
        <f t="shared" si="40"/>
        <v/>
      </c>
      <c r="G429" s="64"/>
      <c r="H429" s="64"/>
      <c r="I429" s="64"/>
      <c r="J429" s="211"/>
      <c r="K429" s="212"/>
      <c r="L429" s="212"/>
      <c r="M429" s="211"/>
      <c r="N429" s="211"/>
      <c r="P429" t="str">
        <f t="shared" si="41"/>
        <v/>
      </c>
      <c r="Q429" t="str">
        <f t="shared" si="42"/>
        <v/>
      </c>
    </row>
    <row r="430" spans="1:17">
      <c r="A430" s="74"/>
      <c r="B430" s="59" t="str">
        <f t="shared" si="38"/>
        <v/>
      </c>
      <c r="C430" s="74"/>
      <c r="D430" s="59" t="str">
        <f t="shared" si="39"/>
        <v/>
      </c>
      <c r="E430" s="75"/>
      <c r="F430" s="59" t="str">
        <f t="shared" si="40"/>
        <v/>
      </c>
      <c r="G430" s="64"/>
      <c r="H430" s="64"/>
      <c r="I430" s="64"/>
      <c r="J430" s="211"/>
      <c r="K430" s="212"/>
      <c r="L430" s="212"/>
      <c r="M430" s="211"/>
      <c r="N430" s="211"/>
      <c r="P430" t="str">
        <f t="shared" si="41"/>
        <v/>
      </c>
      <c r="Q430" t="str">
        <f t="shared" si="42"/>
        <v/>
      </c>
    </row>
    <row r="431" spans="1:17">
      <c r="A431" s="74"/>
      <c r="B431" s="59" t="str">
        <f t="shared" si="38"/>
        <v/>
      </c>
      <c r="C431" s="74"/>
      <c r="D431" s="59" t="str">
        <f t="shared" si="39"/>
        <v/>
      </c>
      <c r="E431" s="75"/>
      <c r="F431" s="59" t="str">
        <f t="shared" si="40"/>
        <v/>
      </c>
      <c r="G431" s="64"/>
      <c r="H431" s="64"/>
      <c r="I431" s="64"/>
      <c r="J431" s="211"/>
      <c r="K431" s="212"/>
      <c r="L431" s="212"/>
      <c r="M431" s="211"/>
      <c r="N431" s="211"/>
      <c r="P431" t="str">
        <f t="shared" si="41"/>
        <v/>
      </c>
      <c r="Q431" t="str">
        <f t="shared" si="42"/>
        <v/>
      </c>
    </row>
    <row r="432" spans="1:17">
      <c r="A432" s="74"/>
      <c r="B432" s="59" t="str">
        <f t="shared" si="38"/>
        <v/>
      </c>
      <c r="C432" s="74"/>
      <c r="D432" s="59" t="str">
        <f t="shared" si="39"/>
        <v/>
      </c>
      <c r="E432" s="75"/>
      <c r="F432" s="59" t="str">
        <f t="shared" si="40"/>
        <v/>
      </c>
      <c r="G432" s="64"/>
      <c r="H432" s="64"/>
      <c r="I432" s="64"/>
      <c r="J432" s="211"/>
      <c r="K432" s="212"/>
      <c r="L432" s="212"/>
      <c r="M432" s="211"/>
      <c r="N432" s="211"/>
      <c r="P432" t="str">
        <f t="shared" si="41"/>
        <v/>
      </c>
      <c r="Q432" t="str">
        <f t="shared" si="42"/>
        <v/>
      </c>
    </row>
    <row r="433" spans="1:17">
      <c r="A433" s="74"/>
      <c r="B433" s="59" t="str">
        <f t="shared" si="38"/>
        <v/>
      </c>
      <c r="C433" s="74"/>
      <c r="D433" s="59" t="str">
        <f t="shared" si="39"/>
        <v/>
      </c>
      <c r="E433" s="75"/>
      <c r="F433" s="59" t="str">
        <f t="shared" si="40"/>
        <v/>
      </c>
      <c r="G433" s="64"/>
      <c r="H433" s="64"/>
      <c r="I433" s="64"/>
      <c r="J433" s="211"/>
      <c r="K433" s="212"/>
      <c r="L433" s="212"/>
      <c r="M433" s="211"/>
      <c r="N433" s="211"/>
      <c r="P433" t="str">
        <f t="shared" si="41"/>
        <v/>
      </c>
      <c r="Q433" t="str">
        <f t="shared" si="42"/>
        <v/>
      </c>
    </row>
    <row r="434" spans="1:17">
      <c r="A434" s="74"/>
      <c r="B434" s="59" t="str">
        <f t="shared" si="38"/>
        <v/>
      </c>
      <c r="C434" s="74"/>
      <c r="D434" s="59" t="str">
        <f t="shared" si="39"/>
        <v/>
      </c>
      <c r="E434" s="75"/>
      <c r="F434" s="59" t="str">
        <f t="shared" si="40"/>
        <v/>
      </c>
      <c r="G434" s="64"/>
      <c r="H434" s="64"/>
      <c r="I434" s="64"/>
      <c r="J434" s="211"/>
      <c r="K434" s="212"/>
      <c r="L434" s="212"/>
      <c r="M434" s="211"/>
      <c r="N434" s="211"/>
      <c r="P434" t="str">
        <f t="shared" si="41"/>
        <v/>
      </c>
      <c r="Q434" t="str">
        <f t="shared" si="42"/>
        <v/>
      </c>
    </row>
    <row r="435" spans="1:17">
      <c r="A435" s="74"/>
      <c r="B435" s="59" t="str">
        <f t="shared" si="38"/>
        <v/>
      </c>
      <c r="C435" s="74"/>
      <c r="D435" s="59" t="str">
        <f t="shared" si="39"/>
        <v/>
      </c>
      <c r="E435" s="75"/>
      <c r="F435" s="59" t="str">
        <f t="shared" si="40"/>
        <v/>
      </c>
      <c r="G435" s="64"/>
      <c r="H435" s="64"/>
      <c r="I435" s="64"/>
      <c r="J435" s="211"/>
      <c r="K435" s="212"/>
      <c r="L435" s="212"/>
      <c r="M435" s="211"/>
      <c r="N435" s="211"/>
      <c r="P435" t="str">
        <f t="shared" si="41"/>
        <v/>
      </c>
      <c r="Q435" t="str">
        <f t="shared" si="42"/>
        <v/>
      </c>
    </row>
    <row r="436" spans="1:17">
      <c r="A436" s="74"/>
      <c r="B436" s="59" t="str">
        <f t="shared" si="38"/>
        <v/>
      </c>
      <c r="C436" s="74"/>
      <c r="D436" s="59" t="str">
        <f t="shared" si="39"/>
        <v/>
      </c>
      <c r="E436" s="75"/>
      <c r="F436" s="59" t="str">
        <f t="shared" si="40"/>
        <v/>
      </c>
      <c r="G436" s="64"/>
      <c r="H436" s="64"/>
      <c r="I436" s="64"/>
      <c r="J436" s="211"/>
      <c r="K436" s="212"/>
      <c r="L436" s="212"/>
      <c r="M436" s="211"/>
      <c r="N436" s="211"/>
      <c r="P436" t="str">
        <f t="shared" si="41"/>
        <v/>
      </c>
      <c r="Q436" t="str">
        <f t="shared" si="42"/>
        <v/>
      </c>
    </row>
    <row r="437" spans="1:17">
      <c r="A437" s="74"/>
      <c r="B437" s="59" t="str">
        <f t="shared" si="38"/>
        <v/>
      </c>
      <c r="C437" s="74"/>
      <c r="D437" s="59" t="str">
        <f t="shared" si="39"/>
        <v/>
      </c>
      <c r="E437" s="75"/>
      <c r="F437" s="59" t="str">
        <f t="shared" si="40"/>
        <v/>
      </c>
      <c r="G437" s="64"/>
      <c r="H437" s="64"/>
      <c r="I437" s="64"/>
      <c r="J437" s="211"/>
      <c r="K437" s="212"/>
      <c r="L437" s="212"/>
      <c r="M437" s="211"/>
      <c r="N437" s="211"/>
      <c r="P437" t="str">
        <f t="shared" si="41"/>
        <v/>
      </c>
      <c r="Q437" t="str">
        <f t="shared" si="42"/>
        <v/>
      </c>
    </row>
    <row r="438" spans="1:17">
      <c r="A438" s="74"/>
      <c r="B438" s="59" t="str">
        <f t="shared" si="38"/>
        <v/>
      </c>
      <c r="C438" s="74"/>
      <c r="D438" s="59" t="str">
        <f t="shared" si="39"/>
        <v/>
      </c>
      <c r="E438" s="75"/>
      <c r="F438" s="59" t="str">
        <f t="shared" si="40"/>
        <v/>
      </c>
      <c r="G438" s="64"/>
      <c r="H438" s="64"/>
      <c r="I438" s="64"/>
      <c r="J438" s="211"/>
      <c r="K438" s="212"/>
      <c r="L438" s="212"/>
      <c r="M438" s="211"/>
      <c r="N438" s="211"/>
      <c r="P438" t="str">
        <f t="shared" si="41"/>
        <v/>
      </c>
      <c r="Q438" t="str">
        <f t="shared" si="42"/>
        <v/>
      </c>
    </row>
    <row r="439" spans="1:17">
      <c r="A439" s="74"/>
      <c r="B439" s="59" t="str">
        <f t="shared" si="38"/>
        <v/>
      </c>
      <c r="C439" s="74"/>
      <c r="D439" s="59" t="str">
        <f t="shared" si="39"/>
        <v/>
      </c>
      <c r="E439" s="75"/>
      <c r="F439" s="59" t="str">
        <f t="shared" si="40"/>
        <v/>
      </c>
      <c r="G439" s="64"/>
      <c r="H439" s="64"/>
      <c r="I439" s="64"/>
      <c r="J439" s="211"/>
      <c r="K439" s="212"/>
      <c r="L439" s="212"/>
      <c r="M439" s="211"/>
      <c r="N439" s="211"/>
      <c r="P439" t="str">
        <f t="shared" si="41"/>
        <v/>
      </c>
      <c r="Q439" t="str">
        <f t="shared" si="42"/>
        <v/>
      </c>
    </row>
    <row r="440" spans="1:17">
      <c r="A440" s="74"/>
      <c r="B440" s="59" t="str">
        <f t="shared" si="38"/>
        <v/>
      </c>
      <c r="C440" s="74"/>
      <c r="D440" s="59" t="str">
        <f t="shared" si="39"/>
        <v/>
      </c>
      <c r="E440" s="75"/>
      <c r="F440" s="59" t="str">
        <f t="shared" si="40"/>
        <v/>
      </c>
      <c r="G440" s="64"/>
      <c r="H440" s="64"/>
      <c r="I440" s="64"/>
      <c r="J440" s="211"/>
      <c r="K440" s="212"/>
      <c r="L440" s="212"/>
      <c r="M440" s="211"/>
      <c r="N440" s="211"/>
      <c r="P440" t="str">
        <f t="shared" si="41"/>
        <v/>
      </c>
      <c r="Q440" t="str">
        <f t="shared" si="42"/>
        <v/>
      </c>
    </row>
    <row r="441" spans="1:17">
      <c r="A441" s="74"/>
      <c r="B441" s="59" t="str">
        <f t="shared" si="38"/>
        <v/>
      </c>
      <c r="C441" s="74"/>
      <c r="D441" s="59" t="str">
        <f t="shared" si="39"/>
        <v/>
      </c>
      <c r="E441" s="75"/>
      <c r="F441" s="59" t="str">
        <f t="shared" si="40"/>
        <v/>
      </c>
      <c r="G441" s="64"/>
      <c r="H441" s="64"/>
      <c r="I441" s="64"/>
      <c r="J441" s="211"/>
      <c r="K441" s="212"/>
      <c r="L441" s="212"/>
      <c r="M441" s="211"/>
      <c r="N441" s="211"/>
      <c r="P441" t="str">
        <f t="shared" si="41"/>
        <v/>
      </c>
      <c r="Q441" t="str">
        <f t="shared" si="42"/>
        <v/>
      </c>
    </row>
    <row r="442" spans="1:17">
      <c r="A442" s="74"/>
      <c r="B442" s="59" t="str">
        <f t="shared" si="38"/>
        <v/>
      </c>
      <c r="C442" s="74"/>
      <c r="D442" s="59" t="str">
        <f t="shared" si="39"/>
        <v/>
      </c>
      <c r="E442" s="75"/>
      <c r="F442" s="59" t="str">
        <f t="shared" si="40"/>
        <v/>
      </c>
      <c r="G442" s="64"/>
      <c r="H442" s="64"/>
      <c r="I442" s="64"/>
      <c r="J442" s="211"/>
      <c r="K442" s="212"/>
      <c r="L442" s="212"/>
      <c r="M442" s="211"/>
      <c r="N442" s="211"/>
      <c r="P442" t="str">
        <f t="shared" si="41"/>
        <v/>
      </c>
      <c r="Q442" t="str">
        <f t="shared" si="42"/>
        <v/>
      </c>
    </row>
    <row r="443" spans="1:17">
      <c r="A443" s="74"/>
      <c r="B443" s="59" t="str">
        <f t="shared" si="38"/>
        <v/>
      </c>
      <c r="C443" s="74"/>
      <c r="D443" s="59" t="str">
        <f t="shared" si="39"/>
        <v/>
      </c>
      <c r="E443" s="75"/>
      <c r="F443" s="59" t="str">
        <f t="shared" si="40"/>
        <v/>
      </c>
      <c r="G443" s="64"/>
      <c r="H443" s="64"/>
      <c r="I443" s="64"/>
      <c r="J443" s="211"/>
      <c r="K443" s="212"/>
      <c r="L443" s="212"/>
      <c r="M443" s="211"/>
      <c r="N443" s="211"/>
      <c r="P443" t="str">
        <f t="shared" si="41"/>
        <v/>
      </c>
      <c r="Q443" t="str">
        <f t="shared" si="42"/>
        <v/>
      </c>
    </row>
    <row r="444" spans="1:17">
      <c r="A444" s="74"/>
      <c r="B444" s="59" t="str">
        <f t="shared" si="38"/>
        <v/>
      </c>
      <c r="C444" s="74"/>
      <c r="D444" s="59" t="str">
        <f t="shared" si="39"/>
        <v/>
      </c>
      <c r="E444" s="75"/>
      <c r="F444" s="59" t="str">
        <f t="shared" si="40"/>
        <v/>
      </c>
      <c r="G444" s="64"/>
      <c r="H444" s="64"/>
      <c r="I444" s="64"/>
      <c r="J444" s="211"/>
      <c r="K444" s="212"/>
      <c r="L444" s="212"/>
      <c r="M444" s="211"/>
      <c r="N444" s="211"/>
      <c r="P444" t="str">
        <f t="shared" si="41"/>
        <v/>
      </c>
      <c r="Q444" t="str">
        <f t="shared" si="42"/>
        <v/>
      </c>
    </row>
    <row r="445" spans="1:17">
      <c r="A445" s="74"/>
      <c r="B445" s="59" t="str">
        <f t="shared" si="38"/>
        <v/>
      </c>
      <c r="C445" s="74"/>
      <c r="D445" s="59" t="str">
        <f t="shared" si="39"/>
        <v/>
      </c>
      <c r="E445" s="75"/>
      <c r="F445" s="59" t="str">
        <f t="shared" si="40"/>
        <v/>
      </c>
      <c r="G445" s="64"/>
      <c r="H445" s="64"/>
      <c r="I445" s="64"/>
      <c r="J445" s="211"/>
      <c r="K445" s="212"/>
      <c r="L445" s="212"/>
      <c r="M445" s="211"/>
      <c r="N445" s="211"/>
      <c r="P445" t="str">
        <f t="shared" si="41"/>
        <v/>
      </c>
      <c r="Q445" t="str">
        <f t="shared" si="42"/>
        <v/>
      </c>
    </row>
    <row r="446" spans="1:17">
      <c r="A446" s="74"/>
      <c r="B446" s="59" t="str">
        <f t="shared" si="38"/>
        <v/>
      </c>
      <c r="C446" s="74"/>
      <c r="D446" s="59" t="str">
        <f t="shared" si="39"/>
        <v/>
      </c>
      <c r="E446" s="75"/>
      <c r="F446" s="59" t="str">
        <f t="shared" si="40"/>
        <v/>
      </c>
      <c r="G446" s="64"/>
      <c r="H446" s="64"/>
      <c r="I446" s="64"/>
      <c r="J446" s="211"/>
      <c r="K446" s="212"/>
      <c r="L446" s="212"/>
      <c r="M446" s="211"/>
      <c r="N446" s="211"/>
      <c r="P446" t="str">
        <f t="shared" si="41"/>
        <v/>
      </c>
      <c r="Q446" t="str">
        <f t="shared" si="42"/>
        <v/>
      </c>
    </row>
    <row r="447" spans="1:17">
      <c r="A447" s="74"/>
      <c r="B447" s="59" t="str">
        <f t="shared" si="38"/>
        <v/>
      </c>
      <c r="C447" s="74"/>
      <c r="D447" s="59" t="str">
        <f t="shared" si="39"/>
        <v/>
      </c>
      <c r="E447" s="75"/>
      <c r="F447" s="59" t="str">
        <f t="shared" si="40"/>
        <v/>
      </c>
      <c r="G447" s="64"/>
      <c r="H447" s="64"/>
      <c r="I447" s="64"/>
      <c r="J447" s="211"/>
      <c r="K447" s="212"/>
      <c r="L447" s="212"/>
      <c r="M447" s="211"/>
      <c r="N447" s="211"/>
      <c r="P447" t="str">
        <f t="shared" si="41"/>
        <v/>
      </c>
      <c r="Q447" t="str">
        <f t="shared" si="42"/>
        <v/>
      </c>
    </row>
    <row r="448" spans="1:17">
      <c r="A448" s="74"/>
      <c r="B448" s="59" t="str">
        <f t="shared" si="38"/>
        <v/>
      </c>
      <c r="C448" s="74"/>
      <c r="D448" s="59" t="str">
        <f t="shared" si="39"/>
        <v/>
      </c>
      <c r="E448" s="75"/>
      <c r="F448" s="59" t="str">
        <f t="shared" si="40"/>
        <v/>
      </c>
      <c r="G448" s="64"/>
      <c r="H448" s="64"/>
      <c r="I448" s="64"/>
      <c r="J448" s="211"/>
      <c r="K448" s="212"/>
      <c r="L448" s="212"/>
      <c r="M448" s="211"/>
      <c r="N448" s="211"/>
      <c r="P448" t="str">
        <f t="shared" si="41"/>
        <v/>
      </c>
      <c r="Q448" t="str">
        <f t="shared" si="42"/>
        <v/>
      </c>
    </row>
    <row r="449" spans="1:17">
      <c r="A449" s="74"/>
      <c r="B449" s="59" t="str">
        <f t="shared" si="38"/>
        <v/>
      </c>
      <c r="C449" s="74"/>
      <c r="D449" s="59" t="str">
        <f t="shared" si="39"/>
        <v/>
      </c>
      <c r="E449" s="75"/>
      <c r="F449" s="59" t="str">
        <f t="shared" si="40"/>
        <v/>
      </c>
      <c r="G449" s="64"/>
      <c r="H449" s="64"/>
      <c r="I449" s="64"/>
      <c r="J449" s="211"/>
      <c r="K449" s="212"/>
      <c r="L449" s="212"/>
      <c r="M449" s="211"/>
      <c r="N449" s="211"/>
      <c r="P449" t="str">
        <f t="shared" si="41"/>
        <v/>
      </c>
      <c r="Q449" t="str">
        <f t="shared" si="42"/>
        <v/>
      </c>
    </row>
    <row r="450" spans="1:17">
      <c r="A450" s="74"/>
      <c r="B450" s="59" t="str">
        <f t="shared" si="38"/>
        <v/>
      </c>
      <c r="C450" s="74"/>
      <c r="D450" s="59" t="str">
        <f t="shared" si="39"/>
        <v/>
      </c>
      <c r="E450" s="75"/>
      <c r="F450" s="59" t="str">
        <f t="shared" si="40"/>
        <v/>
      </c>
      <c r="G450" s="64"/>
      <c r="H450" s="64"/>
      <c r="I450" s="64"/>
      <c r="J450" s="211"/>
      <c r="K450" s="212"/>
      <c r="L450" s="212"/>
      <c r="M450" s="211"/>
      <c r="N450" s="211"/>
      <c r="P450" t="str">
        <f t="shared" si="41"/>
        <v/>
      </c>
      <c r="Q450" t="str">
        <f t="shared" si="42"/>
        <v/>
      </c>
    </row>
    <row r="451" spans="1:17">
      <c r="A451" s="74"/>
      <c r="B451" s="59" t="str">
        <f t="shared" ref="B451:B501" si="43">IFERROR(VLOOKUP(A451,$R$6:$S$16,2,0),"")</f>
        <v/>
      </c>
      <c r="C451" s="74"/>
      <c r="D451" s="59" t="str">
        <f t="shared" ref="D451:D501" si="44">IFERROR(VLOOKUP(C451,$U$5:$W$129,2,0),"")</f>
        <v/>
      </c>
      <c r="E451" s="75"/>
      <c r="F451" s="59" t="str">
        <f t="shared" ref="F451:F501" si="45">IFERROR(VLOOKUP(E451,$AA$6:$AB$200,2,0),"")</f>
        <v/>
      </c>
      <c r="G451" s="64"/>
      <c r="H451" s="64"/>
      <c r="I451" s="64"/>
      <c r="J451" s="211"/>
      <c r="K451" s="212"/>
      <c r="L451" s="212"/>
      <c r="M451" s="211"/>
      <c r="N451" s="211"/>
      <c r="P451" t="str">
        <f t="shared" ref="P451:P501" si="46">LEFT(C451,3)</f>
        <v/>
      </c>
      <c r="Q451" t="str">
        <f t="shared" ref="Q451:Q501" si="47">LEFT(C451,2)</f>
        <v/>
      </c>
    </row>
    <row r="452" spans="1:17">
      <c r="A452" s="74"/>
      <c r="B452" s="59" t="str">
        <f t="shared" si="43"/>
        <v/>
      </c>
      <c r="C452" s="74"/>
      <c r="D452" s="59" t="str">
        <f t="shared" si="44"/>
        <v/>
      </c>
      <c r="E452" s="75"/>
      <c r="F452" s="59" t="str">
        <f t="shared" si="45"/>
        <v/>
      </c>
      <c r="G452" s="64"/>
      <c r="H452" s="64"/>
      <c r="I452" s="64"/>
      <c r="J452" s="211"/>
      <c r="K452" s="212"/>
      <c r="L452" s="212"/>
      <c r="M452" s="211"/>
      <c r="N452" s="211"/>
      <c r="P452" t="str">
        <f t="shared" si="46"/>
        <v/>
      </c>
      <c r="Q452" t="str">
        <f t="shared" si="47"/>
        <v/>
      </c>
    </row>
    <row r="453" spans="1:17">
      <c r="A453" s="74"/>
      <c r="B453" s="59" t="str">
        <f t="shared" si="43"/>
        <v/>
      </c>
      <c r="C453" s="74"/>
      <c r="D453" s="59" t="str">
        <f t="shared" si="44"/>
        <v/>
      </c>
      <c r="E453" s="75"/>
      <c r="F453" s="59" t="str">
        <f t="shared" si="45"/>
        <v/>
      </c>
      <c r="G453" s="64"/>
      <c r="H453" s="64"/>
      <c r="I453" s="64"/>
      <c r="J453" s="211"/>
      <c r="K453" s="212"/>
      <c r="L453" s="212"/>
      <c r="M453" s="211"/>
      <c r="N453" s="211"/>
      <c r="P453" t="str">
        <f t="shared" si="46"/>
        <v/>
      </c>
      <c r="Q453" t="str">
        <f t="shared" si="47"/>
        <v/>
      </c>
    </row>
    <row r="454" spans="1:17">
      <c r="A454" s="74"/>
      <c r="B454" s="59" t="str">
        <f t="shared" si="43"/>
        <v/>
      </c>
      <c r="C454" s="74"/>
      <c r="D454" s="59" t="str">
        <f t="shared" si="44"/>
        <v/>
      </c>
      <c r="E454" s="75"/>
      <c r="F454" s="59" t="str">
        <f t="shared" si="45"/>
        <v/>
      </c>
      <c r="G454" s="64"/>
      <c r="H454" s="64"/>
      <c r="I454" s="64"/>
      <c r="J454" s="211"/>
      <c r="K454" s="212"/>
      <c r="L454" s="212"/>
      <c r="M454" s="211"/>
      <c r="N454" s="211"/>
      <c r="P454" t="str">
        <f t="shared" si="46"/>
        <v/>
      </c>
      <c r="Q454" t="str">
        <f t="shared" si="47"/>
        <v/>
      </c>
    </row>
    <row r="455" spans="1:17">
      <c r="A455" s="74"/>
      <c r="B455" s="59" t="str">
        <f t="shared" si="43"/>
        <v/>
      </c>
      <c r="C455" s="74"/>
      <c r="D455" s="59" t="str">
        <f t="shared" si="44"/>
        <v/>
      </c>
      <c r="E455" s="75"/>
      <c r="F455" s="59" t="str">
        <f t="shared" si="45"/>
        <v/>
      </c>
      <c r="G455" s="64"/>
      <c r="H455" s="64"/>
      <c r="I455" s="64"/>
      <c r="J455" s="211"/>
      <c r="K455" s="212"/>
      <c r="L455" s="212"/>
      <c r="M455" s="211"/>
      <c r="N455" s="211"/>
      <c r="P455" t="str">
        <f t="shared" si="46"/>
        <v/>
      </c>
      <c r="Q455" t="str">
        <f t="shared" si="47"/>
        <v/>
      </c>
    </row>
    <row r="456" spans="1:17">
      <c r="A456" s="74"/>
      <c r="B456" s="59" t="str">
        <f t="shared" si="43"/>
        <v/>
      </c>
      <c r="C456" s="74"/>
      <c r="D456" s="59" t="str">
        <f t="shared" si="44"/>
        <v/>
      </c>
      <c r="E456" s="75"/>
      <c r="F456" s="59" t="str">
        <f t="shared" si="45"/>
        <v/>
      </c>
      <c r="G456" s="64"/>
      <c r="H456" s="64"/>
      <c r="I456" s="64"/>
      <c r="J456" s="211"/>
      <c r="K456" s="212"/>
      <c r="L456" s="212"/>
      <c r="M456" s="211"/>
      <c r="N456" s="211"/>
      <c r="P456" t="str">
        <f t="shared" si="46"/>
        <v/>
      </c>
      <c r="Q456" t="str">
        <f t="shared" si="47"/>
        <v/>
      </c>
    </row>
    <row r="457" spans="1:17">
      <c r="A457" s="74"/>
      <c r="B457" s="59" t="str">
        <f t="shared" si="43"/>
        <v/>
      </c>
      <c r="C457" s="74"/>
      <c r="D457" s="59" t="str">
        <f t="shared" si="44"/>
        <v/>
      </c>
      <c r="E457" s="75"/>
      <c r="F457" s="59" t="str">
        <f t="shared" si="45"/>
        <v/>
      </c>
      <c r="G457" s="64"/>
      <c r="H457" s="64"/>
      <c r="I457" s="64"/>
      <c r="J457" s="211"/>
      <c r="K457" s="212"/>
      <c r="L457" s="212"/>
      <c r="M457" s="211"/>
      <c r="N457" s="211"/>
      <c r="P457" t="str">
        <f t="shared" si="46"/>
        <v/>
      </c>
      <c r="Q457" t="str">
        <f t="shared" si="47"/>
        <v/>
      </c>
    </row>
    <row r="458" spans="1:17">
      <c r="A458" s="74"/>
      <c r="B458" s="59" t="str">
        <f t="shared" si="43"/>
        <v/>
      </c>
      <c r="C458" s="74"/>
      <c r="D458" s="59" t="str">
        <f t="shared" si="44"/>
        <v/>
      </c>
      <c r="E458" s="75"/>
      <c r="F458" s="59" t="str">
        <f t="shared" si="45"/>
        <v/>
      </c>
      <c r="G458" s="64"/>
      <c r="H458" s="64"/>
      <c r="I458" s="64"/>
      <c r="J458" s="211"/>
      <c r="K458" s="212"/>
      <c r="L458" s="212"/>
      <c r="M458" s="211"/>
      <c r="N458" s="211"/>
      <c r="P458" t="str">
        <f t="shared" si="46"/>
        <v/>
      </c>
      <c r="Q458" t="str">
        <f t="shared" si="47"/>
        <v/>
      </c>
    </row>
    <row r="459" spans="1:17">
      <c r="A459" s="74"/>
      <c r="B459" s="59" t="str">
        <f t="shared" si="43"/>
        <v/>
      </c>
      <c r="C459" s="74"/>
      <c r="D459" s="59" t="str">
        <f t="shared" si="44"/>
        <v/>
      </c>
      <c r="E459" s="75"/>
      <c r="F459" s="59" t="str">
        <f t="shared" si="45"/>
        <v/>
      </c>
      <c r="G459" s="64"/>
      <c r="H459" s="64"/>
      <c r="I459" s="64"/>
      <c r="J459" s="211"/>
      <c r="K459" s="212"/>
      <c r="L459" s="212"/>
      <c r="M459" s="211"/>
      <c r="N459" s="211"/>
      <c r="P459" t="str">
        <f t="shared" si="46"/>
        <v/>
      </c>
      <c r="Q459" t="str">
        <f t="shared" si="47"/>
        <v/>
      </c>
    </row>
    <row r="460" spans="1:17">
      <c r="A460" s="74"/>
      <c r="B460" s="59" t="str">
        <f t="shared" si="43"/>
        <v/>
      </c>
      <c r="C460" s="74"/>
      <c r="D460" s="59" t="str">
        <f t="shared" si="44"/>
        <v/>
      </c>
      <c r="E460" s="75"/>
      <c r="F460" s="59" t="str">
        <f t="shared" si="45"/>
        <v/>
      </c>
      <c r="G460" s="64"/>
      <c r="H460" s="64"/>
      <c r="I460" s="64"/>
      <c r="J460" s="211"/>
      <c r="K460" s="212"/>
      <c r="L460" s="212"/>
      <c r="M460" s="211"/>
      <c r="N460" s="211"/>
      <c r="P460" t="str">
        <f t="shared" si="46"/>
        <v/>
      </c>
      <c r="Q460" t="str">
        <f t="shared" si="47"/>
        <v/>
      </c>
    </row>
    <row r="461" spans="1:17">
      <c r="A461" s="74"/>
      <c r="B461" s="59" t="str">
        <f t="shared" si="43"/>
        <v/>
      </c>
      <c r="C461" s="74"/>
      <c r="D461" s="59" t="str">
        <f t="shared" si="44"/>
        <v/>
      </c>
      <c r="E461" s="75"/>
      <c r="F461" s="59" t="str">
        <f t="shared" si="45"/>
        <v/>
      </c>
      <c r="G461" s="64"/>
      <c r="H461" s="64"/>
      <c r="I461" s="64"/>
      <c r="J461" s="211"/>
      <c r="K461" s="212"/>
      <c r="L461" s="212"/>
      <c r="M461" s="211"/>
      <c r="N461" s="211"/>
      <c r="P461" t="str">
        <f t="shared" si="46"/>
        <v/>
      </c>
      <c r="Q461" t="str">
        <f t="shared" si="47"/>
        <v/>
      </c>
    </row>
    <row r="462" spans="1:17">
      <c r="A462" s="74"/>
      <c r="B462" s="59" t="str">
        <f t="shared" si="43"/>
        <v/>
      </c>
      <c r="C462" s="74"/>
      <c r="D462" s="59" t="str">
        <f t="shared" si="44"/>
        <v/>
      </c>
      <c r="E462" s="75"/>
      <c r="F462" s="59" t="str">
        <f t="shared" si="45"/>
        <v/>
      </c>
      <c r="G462" s="64"/>
      <c r="H462" s="64"/>
      <c r="I462" s="64"/>
      <c r="J462" s="211"/>
      <c r="K462" s="212"/>
      <c r="L462" s="212"/>
      <c r="M462" s="211"/>
      <c r="N462" s="211"/>
      <c r="P462" t="str">
        <f t="shared" si="46"/>
        <v/>
      </c>
      <c r="Q462" t="str">
        <f t="shared" si="47"/>
        <v/>
      </c>
    </row>
    <row r="463" spans="1:17">
      <c r="A463" s="74"/>
      <c r="B463" s="59" t="str">
        <f t="shared" si="43"/>
        <v/>
      </c>
      <c r="C463" s="74"/>
      <c r="D463" s="59" t="str">
        <f t="shared" si="44"/>
        <v/>
      </c>
      <c r="E463" s="75"/>
      <c r="F463" s="59" t="str">
        <f t="shared" si="45"/>
        <v/>
      </c>
      <c r="G463" s="64"/>
      <c r="H463" s="64"/>
      <c r="I463" s="64"/>
      <c r="J463" s="211"/>
      <c r="K463" s="212"/>
      <c r="L463" s="212"/>
      <c r="M463" s="211"/>
      <c r="N463" s="211"/>
      <c r="P463" t="str">
        <f t="shared" si="46"/>
        <v/>
      </c>
      <c r="Q463" t="str">
        <f t="shared" si="47"/>
        <v/>
      </c>
    </row>
    <row r="464" spans="1:17">
      <c r="A464" s="74"/>
      <c r="B464" s="59" t="str">
        <f t="shared" si="43"/>
        <v/>
      </c>
      <c r="C464" s="74"/>
      <c r="D464" s="59" t="str">
        <f t="shared" si="44"/>
        <v/>
      </c>
      <c r="E464" s="75"/>
      <c r="F464" s="59" t="str">
        <f t="shared" si="45"/>
        <v/>
      </c>
      <c r="G464" s="64"/>
      <c r="H464" s="64"/>
      <c r="I464" s="64"/>
      <c r="J464" s="211"/>
      <c r="K464" s="212"/>
      <c r="L464" s="212"/>
      <c r="M464" s="211"/>
      <c r="N464" s="211"/>
      <c r="P464" t="str">
        <f t="shared" si="46"/>
        <v/>
      </c>
      <c r="Q464" t="str">
        <f t="shared" si="47"/>
        <v/>
      </c>
    </row>
    <row r="465" spans="1:17">
      <c r="A465" s="74"/>
      <c r="B465" s="59" t="str">
        <f t="shared" si="43"/>
        <v/>
      </c>
      <c r="C465" s="74"/>
      <c r="D465" s="59" t="str">
        <f t="shared" si="44"/>
        <v/>
      </c>
      <c r="E465" s="75"/>
      <c r="F465" s="59" t="str">
        <f t="shared" si="45"/>
        <v/>
      </c>
      <c r="G465" s="64"/>
      <c r="H465" s="64"/>
      <c r="I465" s="64"/>
      <c r="J465" s="211"/>
      <c r="K465" s="212"/>
      <c r="L465" s="212"/>
      <c r="M465" s="211"/>
      <c r="N465" s="211"/>
      <c r="P465" t="str">
        <f t="shared" si="46"/>
        <v/>
      </c>
      <c r="Q465" t="str">
        <f t="shared" si="47"/>
        <v/>
      </c>
    </row>
    <row r="466" spans="1:17">
      <c r="A466" s="74"/>
      <c r="B466" s="59" t="str">
        <f t="shared" si="43"/>
        <v/>
      </c>
      <c r="C466" s="74"/>
      <c r="D466" s="59" t="str">
        <f t="shared" si="44"/>
        <v/>
      </c>
      <c r="E466" s="75"/>
      <c r="F466" s="59" t="str">
        <f t="shared" si="45"/>
        <v/>
      </c>
      <c r="G466" s="64"/>
      <c r="H466" s="64"/>
      <c r="I466" s="64"/>
      <c r="J466" s="211"/>
      <c r="K466" s="212"/>
      <c r="L466" s="212"/>
      <c r="M466" s="211"/>
      <c r="N466" s="211"/>
      <c r="P466" t="str">
        <f t="shared" si="46"/>
        <v/>
      </c>
      <c r="Q466" t="str">
        <f t="shared" si="47"/>
        <v/>
      </c>
    </row>
    <row r="467" spans="1:17">
      <c r="A467" s="74"/>
      <c r="B467" s="59" t="str">
        <f t="shared" si="43"/>
        <v/>
      </c>
      <c r="C467" s="74"/>
      <c r="D467" s="59" t="str">
        <f t="shared" si="44"/>
        <v/>
      </c>
      <c r="E467" s="75"/>
      <c r="F467" s="59" t="str">
        <f t="shared" si="45"/>
        <v/>
      </c>
      <c r="G467" s="64"/>
      <c r="H467" s="64"/>
      <c r="I467" s="64"/>
      <c r="J467" s="211"/>
      <c r="K467" s="212"/>
      <c r="L467" s="212"/>
      <c r="M467" s="211"/>
      <c r="N467" s="211"/>
      <c r="P467" t="str">
        <f t="shared" si="46"/>
        <v/>
      </c>
      <c r="Q467" t="str">
        <f t="shared" si="47"/>
        <v/>
      </c>
    </row>
    <row r="468" spans="1:17">
      <c r="A468" s="74"/>
      <c r="B468" s="59" t="str">
        <f t="shared" si="43"/>
        <v/>
      </c>
      <c r="C468" s="74"/>
      <c r="D468" s="59" t="str">
        <f t="shared" si="44"/>
        <v/>
      </c>
      <c r="E468" s="75"/>
      <c r="F468" s="59" t="str">
        <f t="shared" si="45"/>
        <v/>
      </c>
      <c r="G468" s="64"/>
      <c r="H468" s="64"/>
      <c r="I468" s="64"/>
      <c r="J468" s="211"/>
      <c r="K468" s="212"/>
      <c r="L468" s="212"/>
      <c r="M468" s="211"/>
      <c r="N468" s="211"/>
      <c r="P468" t="str">
        <f t="shared" si="46"/>
        <v/>
      </c>
      <c r="Q468" t="str">
        <f t="shared" si="47"/>
        <v/>
      </c>
    </row>
    <row r="469" spans="1:17">
      <c r="A469" s="74"/>
      <c r="B469" s="59" t="str">
        <f t="shared" si="43"/>
        <v/>
      </c>
      <c r="C469" s="74"/>
      <c r="D469" s="59" t="str">
        <f t="shared" si="44"/>
        <v/>
      </c>
      <c r="E469" s="75"/>
      <c r="F469" s="59" t="str">
        <f t="shared" si="45"/>
        <v/>
      </c>
      <c r="G469" s="64"/>
      <c r="H469" s="64"/>
      <c r="I469" s="64"/>
      <c r="J469" s="211"/>
      <c r="K469" s="212"/>
      <c r="L469" s="212"/>
      <c r="M469" s="211"/>
      <c r="N469" s="211"/>
      <c r="P469" t="str">
        <f t="shared" si="46"/>
        <v/>
      </c>
      <c r="Q469" t="str">
        <f t="shared" si="47"/>
        <v/>
      </c>
    </row>
    <row r="470" spans="1:17">
      <c r="A470" s="74"/>
      <c r="B470" s="59" t="str">
        <f t="shared" si="43"/>
        <v/>
      </c>
      <c r="C470" s="74"/>
      <c r="D470" s="59" t="str">
        <f t="shared" si="44"/>
        <v/>
      </c>
      <c r="E470" s="75"/>
      <c r="F470" s="59" t="str">
        <f t="shared" si="45"/>
        <v/>
      </c>
      <c r="G470" s="64"/>
      <c r="H470" s="64"/>
      <c r="I470" s="64"/>
      <c r="J470" s="211"/>
      <c r="K470" s="212"/>
      <c r="L470" s="212"/>
      <c r="M470" s="211"/>
      <c r="N470" s="211"/>
      <c r="P470" t="str">
        <f t="shared" si="46"/>
        <v/>
      </c>
      <c r="Q470" t="str">
        <f t="shared" si="47"/>
        <v/>
      </c>
    </row>
    <row r="471" spans="1:17">
      <c r="A471" s="74"/>
      <c r="B471" s="59" t="str">
        <f t="shared" si="43"/>
        <v/>
      </c>
      <c r="C471" s="74"/>
      <c r="D471" s="59" t="str">
        <f t="shared" si="44"/>
        <v/>
      </c>
      <c r="E471" s="75"/>
      <c r="F471" s="59" t="str">
        <f t="shared" si="45"/>
        <v/>
      </c>
      <c r="G471" s="64"/>
      <c r="H471" s="64"/>
      <c r="I471" s="64"/>
      <c r="J471" s="211"/>
      <c r="K471" s="212"/>
      <c r="L471" s="212"/>
      <c r="M471" s="211"/>
      <c r="N471" s="211"/>
      <c r="P471" t="str">
        <f t="shared" si="46"/>
        <v/>
      </c>
      <c r="Q471" t="str">
        <f t="shared" si="47"/>
        <v/>
      </c>
    </row>
    <row r="472" spans="1:17">
      <c r="A472" s="74"/>
      <c r="B472" s="59" t="str">
        <f t="shared" si="43"/>
        <v/>
      </c>
      <c r="C472" s="74"/>
      <c r="D472" s="59" t="str">
        <f t="shared" si="44"/>
        <v/>
      </c>
      <c r="E472" s="75"/>
      <c r="F472" s="59" t="str">
        <f t="shared" si="45"/>
        <v/>
      </c>
      <c r="G472" s="64"/>
      <c r="H472" s="64"/>
      <c r="I472" s="64"/>
      <c r="J472" s="211"/>
      <c r="K472" s="212"/>
      <c r="L472" s="212"/>
      <c r="M472" s="211"/>
      <c r="N472" s="211"/>
      <c r="P472" t="str">
        <f t="shared" si="46"/>
        <v/>
      </c>
      <c r="Q472" t="str">
        <f t="shared" si="47"/>
        <v/>
      </c>
    </row>
    <row r="473" spans="1:17">
      <c r="A473" s="74"/>
      <c r="B473" s="59" t="str">
        <f t="shared" si="43"/>
        <v/>
      </c>
      <c r="C473" s="74"/>
      <c r="D473" s="59" t="str">
        <f t="shared" si="44"/>
        <v/>
      </c>
      <c r="E473" s="75"/>
      <c r="F473" s="59" t="str">
        <f t="shared" si="45"/>
        <v/>
      </c>
      <c r="G473" s="64"/>
      <c r="H473" s="64"/>
      <c r="I473" s="64"/>
      <c r="J473" s="211"/>
      <c r="K473" s="212"/>
      <c r="L473" s="212"/>
      <c r="M473" s="211"/>
      <c r="N473" s="211"/>
      <c r="P473" t="str">
        <f t="shared" si="46"/>
        <v/>
      </c>
      <c r="Q473" t="str">
        <f t="shared" si="47"/>
        <v/>
      </c>
    </row>
    <row r="474" spans="1:17">
      <c r="A474" s="74"/>
      <c r="B474" s="59" t="str">
        <f t="shared" si="43"/>
        <v/>
      </c>
      <c r="C474" s="74"/>
      <c r="D474" s="59" t="str">
        <f t="shared" si="44"/>
        <v/>
      </c>
      <c r="E474" s="75"/>
      <c r="F474" s="59" t="str">
        <f t="shared" si="45"/>
        <v/>
      </c>
      <c r="G474" s="64"/>
      <c r="H474" s="64"/>
      <c r="I474" s="64"/>
      <c r="J474" s="211"/>
      <c r="K474" s="212"/>
      <c r="L474" s="212"/>
      <c r="M474" s="211"/>
      <c r="N474" s="211"/>
      <c r="P474" t="str">
        <f t="shared" si="46"/>
        <v/>
      </c>
      <c r="Q474" t="str">
        <f t="shared" si="47"/>
        <v/>
      </c>
    </row>
    <row r="475" spans="1:17">
      <c r="A475" s="74"/>
      <c r="B475" s="59" t="str">
        <f t="shared" si="43"/>
        <v/>
      </c>
      <c r="C475" s="74"/>
      <c r="D475" s="59" t="str">
        <f t="shared" si="44"/>
        <v/>
      </c>
      <c r="E475" s="75"/>
      <c r="F475" s="59" t="str">
        <f t="shared" si="45"/>
        <v/>
      </c>
      <c r="G475" s="64"/>
      <c r="H475" s="64"/>
      <c r="I475" s="64"/>
      <c r="J475" s="211"/>
      <c r="K475" s="212"/>
      <c r="L475" s="212"/>
      <c r="M475" s="211"/>
      <c r="N475" s="211"/>
      <c r="P475" t="str">
        <f t="shared" si="46"/>
        <v/>
      </c>
      <c r="Q475" t="str">
        <f t="shared" si="47"/>
        <v/>
      </c>
    </row>
    <row r="476" spans="1:17">
      <c r="A476" s="74"/>
      <c r="B476" s="59" t="str">
        <f t="shared" si="43"/>
        <v/>
      </c>
      <c r="C476" s="74"/>
      <c r="D476" s="59" t="str">
        <f t="shared" si="44"/>
        <v/>
      </c>
      <c r="E476" s="75"/>
      <c r="F476" s="59" t="str">
        <f t="shared" si="45"/>
        <v/>
      </c>
      <c r="G476" s="64"/>
      <c r="H476" s="64"/>
      <c r="I476" s="64"/>
      <c r="J476" s="211"/>
      <c r="K476" s="212"/>
      <c r="L476" s="212"/>
      <c r="M476" s="211"/>
      <c r="N476" s="211"/>
      <c r="P476" t="str">
        <f t="shared" si="46"/>
        <v/>
      </c>
      <c r="Q476" t="str">
        <f t="shared" si="47"/>
        <v/>
      </c>
    </row>
    <row r="477" spans="1:17">
      <c r="A477" s="74"/>
      <c r="B477" s="59" t="str">
        <f t="shared" si="43"/>
        <v/>
      </c>
      <c r="C477" s="74"/>
      <c r="D477" s="59" t="str">
        <f t="shared" si="44"/>
        <v/>
      </c>
      <c r="E477" s="75"/>
      <c r="F477" s="59" t="str">
        <f t="shared" si="45"/>
        <v/>
      </c>
      <c r="G477" s="64"/>
      <c r="H477" s="64"/>
      <c r="I477" s="64"/>
      <c r="J477" s="211"/>
      <c r="K477" s="212"/>
      <c r="L477" s="212"/>
      <c r="M477" s="211"/>
      <c r="N477" s="211"/>
      <c r="P477" t="str">
        <f t="shared" si="46"/>
        <v/>
      </c>
      <c r="Q477" t="str">
        <f t="shared" si="47"/>
        <v/>
      </c>
    </row>
    <row r="478" spans="1:17">
      <c r="A478" s="74"/>
      <c r="B478" s="59" t="str">
        <f t="shared" si="43"/>
        <v/>
      </c>
      <c r="C478" s="74"/>
      <c r="D478" s="59" t="str">
        <f t="shared" si="44"/>
        <v/>
      </c>
      <c r="E478" s="75"/>
      <c r="F478" s="59" t="str">
        <f t="shared" si="45"/>
        <v/>
      </c>
      <c r="G478" s="64"/>
      <c r="H478" s="64"/>
      <c r="I478" s="64"/>
      <c r="J478" s="211"/>
      <c r="K478" s="212"/>
      <c r="L478" s="212"/>
      <c r="M478" s="211"/>
      <c r="N478" s="211"/>
      <c r="P478" t="str">
        <f t="shared" si="46"/>
        <v/>
      </c>
      <c r="Q478" t="str">
        <f t="shared" si="47"/>
        <v/>
      </c>
    </row>
    <row r="479" spans="1:17">
      <c r="A479" s="74"/>
      <c r="B479" s="59" t="str">
        <f t="shared" si="43"/>
        <v/>
      </c>
      <c r="C479" s="74"/>
      <c r="D479" s="59" t="str">
        <f t="shared" si="44"/>
        <v/>
      </c>
      <c r="E479" s="75"/>
      <c r="F479" s="59" t="str">
        <f t="shared" si="45"/>
        <v/>
      </c>
      <c r="G479" s="64"/>
      <c r="H479" s="64"/>
      <c r="I479" s="64"/>
      <c r="J479" s="211"/>
      <c r="K479" s="212"/>
      <c r="L479" s="212"/>
      <c r="M479" s="211"/>
      <c r="N479" s="211"/>
      <c r="P479" t="str">
        <f t="shared" si="46"/>
        <v/>
      </c>
      <c r="Q479" t="str">
        <f t="shared" si="47"/>
        <v/>
      </c>
    </row>
    <row r="480" spans="1:17">
      <c r="A480" s="74"/>
      <c r="B480" s="59" t="str">
        <f t="shared" si="43"/>
        <v/>
      </c>
      <c r="C480" s="74"/>
      <c r="D480" s="59" t="str">
        <f t="shared" si="44"/>
        <v/>
      </c>
      <c r="E480" s="75"/>
      <c r="F480" s="59" t="str">
        <f t="shared" si="45"/>
        <v/>
      </c>
      <c r="G480" s="64"/>
      <c r="H480" s="64"/>
      <c r="I480" s="64"/>
      <c r="J480" s="211"/>
      <c r="K480" s="212"/>
      <c r="L480" s="212"/>
      <c r="M480" s="211"/>
      <c r="N480" s="211"/>
      <c r="P480" t="str">
        <f t="shared" si="46"/>
        <v/>
      </c>
      <c r="Q480" t="str">
        <f t="shared" si="47"/>
        <v/>
      </c>
    </row>
    <row r="481" spans="1:17">
      <c r="A481" s="74"/>
      <c r="B481" s="59" t="str">
        <f t="shared" si="43"/>
        <v/>
      </c>
      <c r="C481" s="74"/>
      <c r="D481" s="59" t="str">
        <f t="shared" si="44"/>
        <v/>
      </c>
      <c r="E481" s="75"/>
      <c r="F481" s="59" t="str">
        <f t="shared" si="45"/>
        <v/>
      </c>
      <c r="G481" s="64"/>
      <c r="H481" s="64"/>
      <c r="I481" s="64"/>
      <c r="J481" s="211"/>
      <c r="K481" s="212"/>
      <c r="L481" s="212"/>
      <c r="M481" s="211"/>
      <c r="N481" s="211"/>
      <c r="P481" t="str">
        <f t="shared" si="46"/>
        <v/>
      </c>
      <c r="Q481" t="str">
        <f t="shared" si="47"/>
        <v/>
      </c>
    </row>
    <row r="482" spans="1:17">
      <c r="A482" s="74"/>
      <c r="B482" s="59" t="str">
        <f t="shared" si="43"/>
        <v/>
      </c>
      <c r="C482" s="74"/>
      <c r="D482" s="59" t="str">
        <f t="shared" si="44"/>
        <v/>
      </c>
      <c r="E482" s="75"/>
      <c r="F482" s="59" t="str">
        <f t="shared" si="45"/>
        <v/>
      </c>
      <c r="G482" s="64"/>
      <c r="H482" s="64"/>
      <c r="I482" s="64"/>
      <c r="J482" s="211"/>
      <c r="K482" s="212"/>
      <c r="L482" s="212"/>
      <c r="M482" s="211"/>
      <c r="N482" s="211"/>
      <c r="P482" t="str">
        <f t="shared" si="46"/>
        <v/>
      </c>
      <c r="Q482" t="str">
        <f t="shared" si="47"/>
        <v/>
      </c>
    </row>
    <row r="483" spans="1:17">
      <c r="A483" s="74"/>
      <c r="B483" s="59" t="str">
        <f t="shared" si="43"/>
        <v/>
      </c>
      <c r="C483" s="74"/>
      <c r="D483" s="59" t="str">
        <f t="shared" si="44"/>
        <v/>
      </c>
      <c r="E483" s="75"/>
      <c r="F483" s="59" t="str">
        <f t="shared" si="45"/>
        <v/>
      </c>
      <c r="G483" s="64"/>
      <c r="H483" s="64"/>
      <c r="I483" s="64"/>
      <c r="J483" s="211"/>
      <c r="K483" s="212"/>
      <c r="L483" s="212"/>
      <c r="M483" s="211"/>
      <c r="N483" s="211"/>
      <c r="P483" t="str">
        <f t="shared" si="46"/>
        <v/>
      </c>
      <c r="Q483" t="str">
        <f t="shared" si="47"/>
        <v/>
      </c>
    </row>
    <row r="484" spans="1:17">
      <c r="A484" s="74"/>
      <c r="B484" s="59" t="str">
        <f t="shared" si="43"/>
        <v/>
      </c>
      <c r="C484" s="74"/>
      <c r="D484" s="59" t="str">
        <f t="shared" si="44"/>
        <v/>
      </c>
      <c r="E484" s="75"/>
      <c r="F484" s="59" t="str">
        <f t="shared" si="45"/>
        <v/>
      </c>
      <c r="G484" s="64"/>
      <c r="H484" s="64"/>
      <c r="I484" s="64"/>
      <c r="J484" s="211"/>
      <c r="K484" s="212"/>
      <c r="L484" s="212"/>
      <c r="M484" s="211"/>
      <c r="N484" s="211"/>
      <c r="P484" t="str">
        <f t="shared" si="46"/>
        <v/>
      </c>
      <c r="Q484" t="str">
        <f t="shared" si="47"/>
        <v/>
      </c>
    </row>
    <row r="485" spans="1:17">
      <c r="A485" s="74"/>
      <c r="B485" s="59" t="str">
        <f t="shared" si="43"/>
        <v/>
      </c>
      <c r="C485" s="74"/>
      <c r="D485" s="59" t="str">
        <f t="shared" si="44"/>
        <v/>
      </c>
      <c r="E485" s="75"/>
      <c r="F485" s="59" t="str">
        <f t="shared" si="45"/>
        <v/>
      </c>
      <c r="G485" s="64"/>
      <c r="H485" s="64"/>
      <c r="I485" s="64"/>
      <c r="J485" s="211"/>
      <c r="K485" s="212"/>
      <c r="L485" s="212"/>
      <c r="M485" s="211"/>
      <c r="N485" s="211"/>
      <c r="P485" t="str">
        <f t="shared" si="46"/>
        <v/>
      </c>
      <c r="Q485" t="str">
        <f t="shared" si="47"/>
        <v/>
      </c>
    </row>
    <row r="486" spans="1:17">
      <c r="A486" s="74"/>
      <c r="B486" s="59" t="str">
        <f t="shared" si="43"/>
        <v/>
      </c>
      <c r="C486" s="74"/>
      <c r="D486" s="59" t="str">
        <f t="shared" si="44"/>
        <v/>
      </c>
      <c r="E486" s="75"/>
      <c r="F486" s="59" t="str">
        <f t="shared" si="45"/>
        <v/>
      </c>
      <c r="G486" s="64"/>
      <c r="H486" s="64"/>
      <c r="I486" s="64"/>
      <c r="J486" s="211"/>
      <c r="K486" s="212"/>
      <c r="L486" s="212"/>
      <c r="M486" s="211"/>
      <c r="N486" s="211"/>
      <c r="P486" t="str">
        <f t="shared" si="46"/>
        <v/>
      </c>
      <c r="Q486" t="str">
        <f t="shared" si="47"/>
        <v/>
      </c>
    </row>
    <row r="487" spans="1:17">
      <c r="A487" s="74"/>
      <c r="B487" s="59" t="str">
        <f t="shared" si="43"/>
        <v/>
      </c>
      <c r="C487" s="74"/>
      <c r="D487" s="59" t="str">
        <f t="shared" si="44"/>
        <v/>
      </c>
      <c r="E487" s="75"/>
      <c r="F487" s="59" t="str">
        <f t="shared" si="45"/>
        <v/>
      </c>
      <c r="G487" s="64"/>
      <c r="H487" s="64"/>
      <c r="I487" s="64"/>
      <c r="J487" s="211"/>
      <c r="K487" s="212"/>
      <c r="L487" s="212"/>
      <c r="M487" s="211"/>
      <c r="N487" s="211"/>
      <c r="P487" t="str">
        <f t="shared" si="46"/>
        <v/>
      </c>
      <c r="Q487" t="str">
        <f t="shared" si="47"/>
        <v/>
      </c>
    </row>
    <row r="488" spans="1:17">
      <c r="A488" s="74"/>
      <c r="B488" s="59" t="str">
        <f t="shared" si="43"/>
        <v/>
      </c>
      <c r="C488" s="74"/>
      <c r="D488" s="59" t="str">
        <f t="shared" si="44"/>
        <v/>
      </c>
      <c r="E488" s="75"/>
      <c r="F488" s="59" t="str">
        <f t="shared" si="45"/>
        <v/>
      </c>
      <c r="G488" s="64"/>
      <c r="H488" s="64"/>
      <c r="I488" s="64"/>
      <c r="J488" s="211"/>
      <c r="K488" s="212"/>
      <c r="L488" s="212"/>
      <c r="M488" s="211"/>
      <c r="N488" s="211"/>
      <c r="P488" t="str">
        <f t="shared" si="46"/>
        <v/>
      </c>
      <c r="Q488" t="str">
        <f t="shared" si="47"/>
        <v/>
      </c>
    </row>
    <row r="489" spans="1:17">
      <c r="A489" s="74"/>
      <c r="B489" s="59" t="str">
        <f t="shared" si="43"/>
        <v/>
      </c>
      <c r="C489" s="74"/>
      <c r="D489" s="59" t="str">
        <f t="shared" si="44"/>
        <v/>
      </c>
      <c r="E489" s="75"/>
      <c r="F489" s="59" t="str">
        <f t="shared" si="45"/>
        <v/>
      </c>
      <c r="G489" s="64"/>
      <c r="H489" s="64"/>
      <c r="I489" s="64"/>
      <c r="J489" s="211"/>
      <c r="K489" s="212"/>
      <c r="L489" s="212"/>
      <c r="M489" s="211"/>
      <c r="N489" s="211"/>
      <c r="P489" t="str">
        <f t="shared" si="46"/>
        <v/>
      </c>
      <c r="Q489" t="str">
        <f t="shared" si="47"/>
        <v/>
      </c>
    </row>
    <row r="490" spans="1:17">
      <c r="A490" s="74"/>
      <c r="B490" s="59" t="str">
        <f t="shared" si="43"/>
        <v/>
      </c>
      <c r="C490" s="74"/>
      <c r="D490" s="59" t="str">
        <f t="shared" si="44"/>
        <v/>
      </c>
      <c r="E490" s="75"/>
      <c r="F490" s="59" t="str">
        <f t="shared" si="45"/>
        <v/>
      </c>
      <c r="G490" s="64"/>
      <c r="H490" s="64"/>
      <c r="I490" s="64"/>
      <c r="J490" s="211"/>
      <c r="K490" s="212"/>
      <c r="L490" s="212"/>
      <c r="M490" s="211"/>
      <c r="N490" s="211"/>
      <c r="P490" t="str">
        <f t="shared" si="46"/>
        <v/>
      </c>
      <c r="Q490" t="str">
        <f t="shared" si="47"/>
        <v/>
      </c>
    </row>
    <row r="491" spans="1:17">
      <c r="A491" s="74"/>
      <c r="B491" s="59" t="str">
        <f t="shared" si="43"/>
        <v/>
      </c>
      <c r="C491" s="74"/>
      <c r="D491" s="59" t="str">
        <f t="shared" si="44"/>
        <v/>
      </c>
      <c r="E491" s="75"/>
      <c r="F491" s="59" t="str">
        <f t="shared" si="45"/>
        <v/>
      </c>
      <c r="G491" s="64"/>
      <c r="H491" s="64"/>
      <c r="I491" s="64"/>
      <c r="J491" s="211"/>
      <c r="K491" s="212"/>
      <c r="L491" s="212"/>
      <c r="M491" s="211"/>
      <c r="N491" s="211"/>
      <c r="P491" t="str">
        <f t="shared" si="46"/>
        <v/>
      </c>
      <c r="Q491" t="str">
        <f t="shared" si="47"/>
        <v/>
      </c>
    </row>
    <row r="492" spans="1:17">
      <c r="A492" s="74"/>
      <c r="B492" s="59" t="str">
        <f t="shared" si="43"/>
        <v/>
      </c>
      <c r="C492" s="74"/>
      <c r="D492" s="59" t="str">
        <f t="shared" si="44"/>
        <v/>
      </c>
      <c r="E492" s="75"/>
      <c r="F492" s="59" t="str">
        <f t="shared" si="45"/>
        <v/>
      </c>
      <c r="G492" s="64"/>
      <c r="H492" s="64"/>
      <c r="I492" s="64"/>
      <c r="J492" s="211"/>
      <c r="K492" s="212"/>
      <c r="L492" s="212"/>
      <c r="M492" s="211"/>
      <c r="N492" s="211"/>
      <c r="P492" t="str">
        <f t="shared" si="46"/>
        <v/>
      </c>
      <c r="Q492" t="str">
        <f t="shared" si="47"/>
        <v/>
      </c>
    </row>
    <row r="493" spans="1:17">
      <c r="A493" s="74"/>
      <c r="B493" s="59" t="str">
        <f t="shared" si="43"/>
        <v/>
      </c>
      <c r="C493" s="74"/>
      <c r="D493" s="59" t="str">
        <f t="shared" si="44"/>
        <v/>
      </c>
      <c r="E493" s="75"/>
      <c r="F493" s="59" t="str">
        <f t="shared" si="45"/>
        <v/>
      </c>
      <c r="G493" s="64"/>
      <c r="H493" s="64"/>
      <c r="I493" s="64"/>
      <c r="J493" s="211"/>
      <c r="K493" s="212"/>
      <c r="L493" s="212"/>
      <c r="M493" s="211"/>
      <c r="N493" s="211"/>
      <c r="P493" t="str">
        <f t="shared" si="46"/>
        <v/>
      </c>
      <c r="Q493" t="str">
        <f t="shared" si="47"/>
        <v/>
      </c>
    </row>
    <row r="494" spans="1:17">
      <c r="A494" s="74"/>
      <c r="B494" s="59" t="str">
        <f t="shared" si="43"/>
        <v/>
      </c>
      <c r="C494" s="74"/>
      <c r="D494" s="59" t="str">
        <f t="shared" si="44"/>
        <v/>
      </c>
      <c r="E494" s="75"/>
      <c r="F494" s="59" t="str">
        <f t="shared" si="45"/>
        <v/>
      </c>
      <c r="G494" s="64"/>
      <c r="H494" s="64"/>
      <c r="I494" s="64"/>
      <c r="J494" s="211"/>
      <c r="K494" s="212"/>
      <c r="L494" s="212"/>
      <c r="M494" s="211"/>
      <c r="N494" s="211"/>
      <c r="P494" t="str">
        <f t="shared" si="46"/>
        <v/>
      </c>
      <c r="Q494" t="str">
        <f t="shared" si="47"/>
        <v/>
      </c>
    </row>
    <row r="495" spans="1:17">
      <c r="A495" s="74"/>
      <c r="B495" s="59" t="str">
        <f t="shared" si="43"/>
        <v/>
      </c>
      <c r="C495" s="74"/>
      <c r="D495" s="59" t="str">
        <f t="shared" si="44"/>
        <v/>
      </c>
      <c r="E495" s="75"/>
      <c r="F495" s="59" t="str">
        <f t="shared" si="45"/>
        <v/>
      </c>
      <c r="G495" s="64"/>
      <c r="H495" s="64"/>
      <c r="I495" s="64"/>
      <c r="J495" s="211"/>
      <c r="K495" s="212"/>
      <c r="L495" s="212"/>
      <c r="M495" s="211"/>
      <c r="N495" s="211"/>
      <c r="P495" t="str">
        <f t="shared" si="46"/>
        <v/>
      </c>
      <c r="Q495" t="str">
        <f t="shared" si="47"/>
        <v/>
      </c>
    </row>
    <row r="496" spans="1:17">
      <c r="A496" s="74"/>
      <c r="B496" s="59" t="str">
        <f t="shared" si="43"/>
        <v/>
      </c>
      <c r="C496" s="74"/>
      <c r="D496" s="59" t="str">
        <f t="shared" si="44"/>
        <v/>
      </c>
      <c r="E496" s="75"/>
      <c r="F496" s="59" t="str">
        <f t="shared" si="45"/>
        <v/>
      </c>
      <c r="G496" s="64"/>
      <c r="H496" s="64"/>
      <c r="I496" s="64"/>
      <c r="J496" s="211"/>
      <c r="K496" s="212"/>
      <c r="L496" s="212"/>
      <c r="M496" s="211"/>
      <c r="N496" s="211"/>
      <c r="P496" t="str">
        <f t="shared" si="46"/>
        <v/>
      </c>
      <c r="Q496" t="str">
        <f t="shared" si="47"/>
        <v/>
      </c>
    </row>
    <row r="497" spans="1:17">
      <c r="A497" s="74"/>
      <c r="B497" s="59" t="str">
        <f t="shared" si="43"/>
        <v/>
      </c>
      <c r="C497" s="74"/>
      <c r="D497" s="59" t="str">
        <f t="shared" si="44"/>
        <v/>
      </c>
      <c r="E497" s="75"/>
      <c r="F497" s="59" t="str">
        <f t="shared" si="45"/>
        <v/>
      </c>
      <c r="G497" s="64"/>
      <c r="H497" s="64"/>
      <c r="I497" s="64"/>
      <c r="J497" s="211"/>
      <c r="K497" s="212"/>
      <c r="L497" s="212"/>
      <c r="M497" s="211"/>
      <c r="N497" s="211"/>
      <c r="P497" t="str">
        <f t="shared" si="46"/>
        <v/>
      </c>
      <c r="Q497" t="str">
        <f t="shared" si="47"/>
        <v/>
      </c>
    </row>
    <row r="498" spans="1:17">
      <c r="A498" s="74"/>
      <c r="B498" s="59" t="str">
        <f t="shared" si="43"/>
        <v/>
      </c>
      <c r="C498" s="74"/>
      <c r="D498" s="59" t="str">
        <f t="shared" si="44"/>
        <v/>
      </c>
      <c r="E498" s="75"/>
      <c r="F498" s="59" t="str">
        <f t="shared" si="45"/>
        <v/>
      </c>
      <c r="G498" s="64"/>
      <c r="H498" s="64"/>
      <c r="I498" s="64"/>
      <c r="J498" s="211"/>
      <c r="K498" s="212"/>
      <c r="L498" s="212"/>
      <c r="M498" s="211"/>
      <c r="N498" s="211"/>
      <c r="P498" t="str">
        <f t="shared" si="46"/>
        <v/>
      </c>
      <c r="Q498" t="str">
        <f t="shared" si="47"/>
        <v/>
      </c>
    </row>
    <row r="499" spans="1:17">
      <c r="A499" s="74"/>
      <c r="B499" s="59" t="str">
        <f t="shared" si="43"/>
        <v/>
      </c>
      <c r="C499" s="74"/>
      <c r="D499" s="59" t="str">
        <f t="shared" si="44"/>
        <v/>
      </c>
      <c r="E499" s="75"/>
      <c r="F499" s="59" t="str">
        <f t="shared" si="45"/>
        <v/>
      </c>
      <c r="G499" s="64"/>
      <c r="H499" s="64"/>
      <c r="I499" s="64"/>
      <c r="J499" s="211"/>
      <c r="K499" s="212"/>
      <c r="L499" s="212"/>
      <c r="M499" s="211"/>
      <c r="N499" s="211"/>
      <c r="P499" t="str">
        <f t="shared" si="46"/>
        <v/>
      </c>
      <c r="Q499" t="str">
        <f t="shared" si="47"/>
        <v/>
      </c>
    </row>
    <row r="500" spans="1:17">
      <c r="A500" s="74"/>
      <c r="B500" s="59" t="str">
        <f t="shared" si="43"/>
        <v/>
      </c>
      <c r="C500" s="74"/>
      <c r="D500" s="59" t="str">
        <f t="shared" si="44"/>
        <v/>
      </c>
      <c r="E500" s="75"/>
      <c r="F500" s="59" t="str">
        <f t="shared" si="45"/>
        <v/>
      </c>
      <c r="G500" s="64"/>
      <c r="H500" s="64"/>
      <c r="I500" s="64"/>
      <c r="J500" s="211"/>
      <c r="K500" s="212"/>
      <c r="L500" s="212"/>
      <c r="M500" s="211"/>
      <c r="N500" s="211"/>
      <c r="P500" t="str">
        <f t="shared" si="46"/>
        <v/>
      </c>
      <c r="Q500" t="str">
        <f t="shared" si="47"/>
        <v/>
      </c>
    </row>
    <row r="501" spans="1:17">
      <c r="A501" s="74"/>
      <c r="B501" s="59" t="str">
        <f t="shared" si="43"/>
        <v/>
      </c>
      <c r="C501" s="74"/>
      <c r="D501" s="59" t="str">
        <f t="shared" si="44"/>
        <v/>
      </c>
      <c r="E501" s="75"/>
      <c r="F501" s="59" t="str">
        <f t="shared" si="45"/>
        <v/>
      </c>
      <c r="G501" s="64"/>
      <c r="H501" s="64"/>
      <c r="I501" s="64"/>
      <c r="J501" s="211"/>
      <c r="K501" s="212"/>
      <c r="L501" s="212"/>
      <c r="M501" s="211"/>
      <c r="N501" s="211"/>
      <c r="P501" t="str">
        <f t="shared" si="46"/>
        <v/>
      </c>
      <c r="Q501" t="str">
        <f t="shared" si="47"/>
        <v/>
      </c>
    </row>
    <row r="502" spans="1:17" ht="15.75" customHeight="1"/>
  </sheetData>
  <sheetProtection password="DE31" sheet="1" objects="1" scenarios="1" selectLockedCells="1"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600-000000000000}">
      <formula1>$U$5:$U$129</formula1>
      <formula2>0</formula2>
    </dataValidation>
    <dataValidation type="whole" allowBlank="1" showInputMessage="1" showErrorMessage="1" errorTitle="GREŠKA" error="U ovo polje je dozvoljen unos samo brojčanih vrijednosti (bez decimala!)" sqref="G3:I501" xr:uid="{00000000-0002-0000-06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600-000002000000}">
      <formula1>$R$6:$R$16</formula1>
      <formula2>0</formula2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600-000003000000}">
      <formula1>$AA$6:$AA$194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50" firstPageNumber="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98"/>
  <sheetViews>
    <sheetView topLeftCell="A172" zoomScaleNormal="100" workbookViewId="0">
      <selection activeCell="B49" sqref="B49"/>
    </sheetView>
  </sheetViews>
  <sheetFormatPr defaultRowHeight="14.4"/>
  <cols>
    <col min="1" max="1" width="15.109375" customWidth="1"/>
    <col min="2" max="2" width="87.109375" customWidth="1"/>
    <col min="3" max="1025" width="8.6640625" customWidth="1"/>
  </cols>
  <sheetData>
    <row r="1" spans="1:2">
      <c r="A1" s="213" t="s">
        <v>1284</v>
      </c>
      <c r="B1" s="214" t="s">
        <v>294</v>
      </c>
    </row>
    <row r="2" spans="1:2" hidden="1">
      <c r="A2" s="215" t="s">
        <v>1285</v>
      </c>
      <c r="B2" s="216" t="s">
        <v>1286</v>
      </c>
    </row>
    <row r="3" spans="1:2" hidden="1">
      <c r="A3" s="217" t="s">
        <v>1287</v>
      </c>
      <c r="B3" s="218" t="s">
        <v>1288</v>
      </c>
    </row>
    <row r="4" spans="1:2" hidden="1">
      <c r="A4" s="219" t="s">
        <v>1289</v>
      </c>
      <c r="B4" s="220" t="s">
        <v>1290</v>
      </c>
    </row>
    <row r="5" spans="1:2" hidden="1">
      <c r="A5" s="221" t="s">
        <v>1291</v>
      </c>
      <c r="B5" s="222" t="s">
        <v>1292</v>
      </c>
    </row>
    <row r="6" spans="1:2" hidden="1">
      <c r="A6" s="221" t="s">
        <v>1293</v>
      </c>
      <c r="B6" s="222" t="s">
        <v>1294</v>
      </c>
    </row>
    <row r="7" spans="1:2" hidden="1">
      <c r="A7" s="221" t="s">
        <v>1295</v>
      </c>
      <c r="B7" s="222" t="s">
        <v>1296</v>
      </c>
    </row>
    <row r="8" spans="1:2" hidden="1">
      <c r="A8" s="221" t="s">
        <v>1297</v>
      </c>
      <c r="B8" s="222" t="s">
        <v>1298</v>
      </c>
    </row>
    <row r="9" spans="1:2" hidden="1">
      <c r="A9" s="221" t="s">
        <v>1299</v>
      </c>
      <c r="B9" s="222" t="s">
        <v>1300</v>
      </c>
    </row>
    <row r="10" spans="1:2" hidden="1">
      <c r="A10" s="221" t="s">
        <v>1301</v>
      </c>
      <c r="B10" s="222" t="s">
        <v>1302</v>
      </c>
    </row>
    <row r="11" spans="1:2" hidden="1">
      <c r="A11" s="221" t="s">
        <v>1303</v>
      </c>
      <c r="B11" s="222" t="s">
        <v>663</v>
      </c>
    </row>
    <row r="12" spans="1:2" hidden="1">
      <c r="A12" s="221" t="s">
        <v>1304</v>
      </c>
      <c r="B12" s="222" t="s">
        <v>660</v>
      </c>
    </row>
    <row r="13" spans="1:2" hidden="1">
      <c r="A13" s="221" t="s">
        <v>1305</v>
      </c>
      <c r="B13" s="222" t="s">
        <v>1306</v>
      </c>
    </row>
    <row r="14" spans="1:2" hidden="1">
      <c r="A14" s="219" t="s">
        <v>1307</v>
      </c>
      <c r="B14" s="220" t="s">
        <v>1308</v>
      </c>
    </row>
    <row r="15" spans="1:2" hidden="1">
      <c r="A15" s="221" t="s">
        <v>1309</v>
      </c>
      <c r="B15" s="222" t="s">
        <v>1310</v>
      </c>
    </row>
    <row r="16" spans="1:2" hidden="1">
      <c r="A16" s="219" t="s">
        <v>1311</v>
      </c>
      <c r="B16" s="220" t="s">
        <v>1312</v>
      </c>
    </row>
    <row r="17" spans="1:2" hidden="1">
      <c r="A17" s="221" t="s">
        <v>1313</v>
      </c>
      <c r="B17" s="222" t="s">
        <v>1314</v>
      </c>
    </row>
    <row r="18" spans="1:2" hidden="1">
      <c r="A18" s="221" t="s">
        <v>1315</v>
      </c>
      <c r="B18" s="222" t="s">
        <v>1316</v>
      </c>
    </row>
    <row r="19" spans="1:2" hidden="1">
      <c r="A19" s="221" t="s">
        <v>1317</v>
      </c>
      <c r="B19" s="222" t="s">
        <v>1318</v>
      </c>
    </row>
    <row r="20" spans="1:2" hidden="1">
      <c r="A20" s="221" t="s">
        <v>1319</v>
      </c>
      <c r="B20" s="222" t="s">
        <v>1320</v>
      </c>
    </row>
    <row r="21" spans="1:2" hidden="1">
      <c r="A21" s="221" t="s">
        <v>1321</v>
      </c>
      <c r="B21" s="222" t="s">
        <v>1322</v>
      </c>
    </row>
    <row r="22" spans="1:2" hidden="1">
      <c r="A22" s="221" t="s">
        <v>1323</v>
      </c>
      <c r="B22" s="222" t="s">
        <v>658</v>
      </c>
    </row>
    <row r="23" spans="1:2" hidden="1">
      <c r="A23" s="219" t="s">
        <v>1324</v>
      </c>
      <c r="B23" s="220" t="s">
        <v>1325</v>
      </c>
    </row>
    <row r="24" spans="1:2" hidden="1">
      <c r="A24" s="221" t="s">
        <v>1326</v>
      </c>
      <c r="B24" s="222" t="s">
        <v>1327</v>
      </c>
    </row>
    <row r="25" spans="1:2">
      <c r="A25" s="217" t="s">
        <v>24</v>
      </c>
      <c r="B25" s="218" t="s">
        <v>23</v>
      </c>
    </row>
    <row r="26" spans="1:2">
      <c r="A26" s="219" t="s">
        <v>1328</v>
      </c>
      <c r="B26" s="220" t="s">
        <v>1329</v>
      </c>
    </row>
    <row r="27" spans="1:2">
      <c r="A27" s="221" t="s">
        <v>551</v>
      </c>
      <c r="B27" s="222" t="s">
        <v>552</v>
      </c>
    </row>
    <row r="28" spans="1:2">
      <c r="A28" s="221" t="s">
        <v>554</v>
      </c>
      <c r="B28" s="222" t="s">
        <v>555</v>
      </c>
    </row>
    <row r="29" spans="1:2">
      <c r="A29" s="221" t="s">
        <v>557</v>
      </c>
      <c r="B29" s="222" t="s">
        <v>558</v>
      </c>
    </row>
    <row r="30" spans="1:2">
      <c r="A30" s="221" t="s">
        <v>560</v>
      </c>
      <c r="B30" s="222" t="s">
        <v>561</v>
      </c>
    </row>
    <row r="31" spans="1:2">
      <c r="A31" s="221" t="s">
        <v>584</v>
      </c>
      <c r="B31" s="222" t="s">
        <v>585</v>
      </c>
    </row>
    <row r="32" spans="1:2">
      <c r="A32" s="221" t="s">
        <v>563</v>
      </c>
      <c r="B32" s="222" t="s">
        <v>564</v>
      </c>
    </row>
    <row r="33" spans="1:2">
      <c r="A33" s="221" t="s">
        <v>566</v>
      </c>
      <c r="B33" s="222" t="s">
        <v>567</v>
      </c>
    </row>
    <row r="34" spans="1:2">
      <c r="A34" s="221" t="s">
        <v>569</v>
      </c>
      <c r="B34" s="222" t="s">
        <v>570</v>
      </c>
    </row>
    <row r="35" spans="1:2">
      <c r="A35" s="221" t="s">
        <v>572</v>
      </c>
      <c r="B35" s="222" t="s">
        <v>573</v>
      </c>
    </row>
    <row r="36" spans="1:2">
      <c r="A36" s="221" t="s">
        <v>590</v>
      </c>
      <c r="B36" s="222" t="s">
        <v>591</v>
      </c>
    </row>
    <row r="37" spans="1:2">
      <c r="A37" s="221" t="s">
        <v>1330</v>
      </c>
      <c r="B37" s="222" t="s">
        <v>1331</v>
      </c>
    </row>
    <row r="38" spans="1:2">
      <c r="A38" s="221" t="s">
        <v>1332</v>
      </c>
      <c r="B38" s="222" t="s">
        <v>1333</v>
      </c>
    </row>
    <row r="39" spans="1:2">
      <c r="A39" s="221" t="s">
        <v>581</v>
      </c>
      <c r="B39" s="222" t="s">
        <v>582</v>
      </c>
    </row>
    <row r="40" spans="1:2">
      <c r="A40" s="221" t="s">
        <v>596</v>
      </c>
      <c r="B40" s="222" t="s">
        <v>1334</v>
      </c>
    </row>
    <row r="41" spans="1:2">
      <c r="A41" s="221" t="s">
        <v>599</v>
      </c>
      <c r="B41" s="222" t="s">
        <v>1335</v>
      </c>
    </row>
    <row r="42" spans="1:2">
      <c r="A42" s="221" t="s">
        <v>602</v>
      </c>
      <c r="B42" s="222" t="s">
        <v>1336</v>
      </c>
    </row>
    <row r="43" spans="1:2">
      <c r="A43" s="221" t="s">
        <v>605</v>
      </c>
      <c r="B43" s="222" t="s">
        <v>1337</v>
      </c>
    </row>
    <row r="44" spans="1:2">
      <c r="A44" s="221" t="s">
        <v>608</v>
      </c>
      <c r="B44" s="222" t="s">
        <v>1338</v>
      </c>
    </row>
    <row r="45" spans="1:2">
      <c r="A45" s="221" t="s">
        <v>611</v>
      </c>
      <c r="B45" s="222" t="s">
        <v>1339</v>
      </c>
    </row>
    <row r="46" spans="1:2">
      <c r="A46" s="221" t="s">
        <v>614</v>
      </c>
      <c r="B46" s="222" t="s">
        <v>1340</v>
      </c>
    </row>
    <row r="47" spans="1:2">
      <c r="A47" s="221" t="s">
        <v>617</v>
      </c>
      <c r="B47" s="222" t="s">
        <v>1341</v>
      </c>
    </row>
    <row r="48" spans="1:2">
      <c r="A48" s="221" t="s">
        <v>575</v>
      </c>
      <c r="B48" s="222" t="s">
        <v>576</v>
      </c>
    </row>
    <row r="49" spans="1:2">
      <c r="A49" s="221" t="s">
        <v>620</v>
      </c>
      <c r="B49" s="222" t="s">
        <v>1342</v>
      </c>
    </row>
    <row r="50" spans="1:2">
      <c r="A50" s="221" t="s">
        <v>627</v>
      </c>
      <c r="B50" s="222" t="s">
        <v>1343</v>
      </c>
    </row>
    <row r="51" spans="1:2">
      <c r="A51" s="221" t="s">
        <v>630</v>
      </c>
      <c r="B51" s="222" t="s">
        <v>1344</v>
      </c>
    </row>
    <row r="52" spans="1:2">
      <c r="A52" s="221" t="s">
        <v>633</v>
      </c>
      <c r="B52" s="222" t="s">
        <v>1345</v>
      </c>
    </row>
    <row r="53" spans="1:2">
      <c r="A53" s="221" t="s">
        <v>636</v>
      </c>
      <c r="B53" s="222" t="s">
        <v>1346</v>
      </c>
    </row>
    <row r="54" spans="1:2">
      <c r="A54" s="221" t="s">
        <v>639</v>
      </c>
      <c r="B54" s="222" t="s">
        <v>1347</v>
      </c>
    </row>
    <row r="55" spans="1:2">
      <c r="A55" s="221" t="s">
        <v>642</v>
      </c>
      <c r="B55" s="222" t="s">
        <v>1348</v>
      </c>
    </row>
    <row r="56" spans="1:2">
      <c r="A56" s="221" t="s">
        <v>645</v>
      </c>
      <c r="B56" s="222" t="s">
        <v>1349</v>
      </c>
    </row>
    <row r="57" spans="1:2">
      <c r="A57" s="221" t="s">
        <v>648</v>
      </c>
      <c r="B57" s="222" t="s">
        <v>1350</v>
      </c>
    </row>
    <row r="58" spans="1:2">
      <c r="A58" s="221" t="s">
        <v>651</v>
      </c>
      <c r="B58" s="222" t="s">
        <v>1351</v>
      </c>
    </row>
    <row r="59" spans="1:2">
      <c r="A59" s="221" t="s">
        <v>578</v>
      </c>
      <c r="B59" s="222" t="s">
        <v>579</v>
      </c>
    </row>
    <row r="60" spans="1:2">
      <c r="A60" s="221" t="s">
        <v>1352</v>
      </c>
      <c r="B60" s="222" t="s">
        <v>147</v>
      </c>
    </row>
    <row r="61" spans="1:2">
      <c r="A61" s="221" t="s">
        <v>587</v>
      </c>
      <c r="B61" s="222" t="s">
        <v>588</v>
      </c>
    </row>
    <row r="62" spans="1:2">
      <c r="A62" s="221" t="s">
        <v>657</v>
      </c>
      <c r="B62" s="222" t="s">
        <v>658</v>
      </c>
    </row>
    <row r="63" spans="1:2">
      <c r="A63" s="221" t="s">
        <v>659</v>
      </c>
      <c r="B63" s="222" t="s">
        <v>660</v>
      </c>
    </row>
    <row r="64" spans="1:2">
      <c r="A64" s="221" t="s">
        <v>662</v>
      </c>
      <c r="B64" s="222" t="s">
        <v>663</v>
      </c>
    </row>
    <row r="65" spans="1:2">
      <c r="A65" s="219" t="s">
        <v>1311</v>
      </c>
      <c r="B65" s="220" t="s">
        <v>1312</v>
      </c>
    </row>
    <row r="66" spans="1:2">
      <c r="A66" s="221" t="s">
        <v>593</v>
      </c>
      <c r="B66" s="222" t="s">
        <v>594</v>
      </c>
    </row>
    <row r="67" spans="1:2">
      <c r="A67" s="217" t="s">
        <v>348</v>
      </c>
      <c r="B67" s="218" t="s">
        <v>1353</v>
      </c>
    </row>
    <row r="68" spans="1:2">
      <c r="A68" s="219" t="s">
        <v>1311</v>
      </c>
      <c r="B68" s="220" t="s">
        <v>1312</v>
      </c>
    </row>
    <row r="69" spans="1:2">
      <c r="A69" s="221" t="s">
        <v>546</v>
      </c>
      <c r="B69" s="222" t="s">
        <v>665</v>
      </c>
    </row>
    <row r="70" spans="1:2">
      <c r="A70" s="221" t="s">
        <v>667</v>
      </c>
      <c r="B70" s="222" t="s">
        <v>668</v>
      </c>
    </row>
    <row r="71" spans="1:2">
      <c r="A71" s="221" t="s">
        <v>1354</v>
      </c>
      <c r="B71" s="222" t="s">
        <v>1355</v>
      </c>
    </row>
    <row r="72" spans="1:2">
      <c r="A72" s="221" t="s">
        <v>670</v>
      </c>
      <c r="B72" s="222" t="s">
        <v>671</v>
      </c>
    </row>
    <row r="73" spans="1:2">
      <c r="A73" s="221" t="s">
        <v>1356</v>
      </c>
      <c r="B73" s="222" t="s">
        <v>1331</v>
      </c>
    </row>
    <row r="74" spans="1:2">
      <c r="A74" s="221" t="s">
        <v>673</v>
      </c>
      <c r="B74" s="222" t="s">
        <v>1357</v>
      </c>
    </row>
    <row r="75" spans="1:2">
      <c r="A75" s="221" t="s">
        <v>622</v>
      </c>
      <c r="B75" s="222" t="s">
        <v>1358</v>
      </c>
    </row>
    <row r="76" spans="1:2">
      <c r="A76" s="221" t="s">
        <v>549</v>
      </c>
      <c r="B76" s="222" t="s">
        <v>678</v>
      </c>
    </row>
    <row r="77" spans="1:2">
      <c r="A77" s="221" t="s">
        <v>680</v>
      </c>
      <c r="B77" s="222" t="s">
        <v>658</v>
      </c>
    </row>
    <row r="78" spans="1:2">
      <c r="A78" s="217" t="s">
        <v>1359</v>
      </c>
      <c r="B78" s="218" t="s">
        <v>1360</v>
      </c>
    </row>
    <row r="79" spans="1:2">
      <c r="A79" s="219" t="s">
        <v>1311</v>
      </c>
      <c r="B79" s="220" t="s">
        <v>1312</v>
      </c>
    </row>
    <row r="80" spans="1:2">
      <c r="A80" s="221" t="s">
        <v>1361</v>
      </c>
      <c r="B80" s="222" t="s">
        <v>1362</v>
      </c>
    </row>
    <row r="81" spans="1:2">
      <c r="A81" s="221" t="s">
        <v>1363</v>
      </c>
      <c r="B81" s="222" t="s">
        <v>1364</v>
      </c>
    </row>
    <row r="82" spans="1:2">
      <c r="A82" s="217" t="s">
        <v>1365</v>
      </c>
      <c r="B82" s="218" t="s">
        <v>1366</v>
      </c>
    </row>
    <row r="83" spans="1:2">
      <c r="A83" s="219" t="s">
        <v>1311</v>
      </c>
      <c r="B83" s="220" t="s">
        <v>1312</v>
      </c>
    </row>
    <row r="84" spans="1:2">
      <c r="A84" s="221" t="s">
        <v>1367</v>
      </c>
      <c r="B84" s="222" t="s">
        <v>1368</v>
      </c>
    </row>
    <row r="85" spans="1:2">
      <c r="A85" s="221" t="s">
        <v>1369</v>
      </c>
      <c r="B85" s="222" t="s">
        <v>1370</v>
      </c>
    </row>
    <row r="86" spans="1:2">
      <c r="A86" s="221" t="s">
        <v>1371</v>
      </c>
      <c r="B86" s="222" t="s">
        <v>1372</v>
      </c>
    </row>
    <row r="87" spans="1:2">
      <c r="A87" s="221" t="s">
        <v>1373</v>
      </c>
      <c r="B87" s="222" t="s">
        <v>1374</v>
      </c>
    </row>
    <row r="88" spans="1:2">
      <c r="A88" s="217" t="s">
        <v>1375</v>
      </c>
      <c r="B88" s="218" t="s">
        <v>1376</v>
      </c>
    </row>
    <row r="89" spans="1:2">
      <c r="A89" s="219" t="s">
        <v>1377</v>
      </c>
      <c r="B89" s="220" t="s">
        <v>1378</v>
      </c>
    </row>
    <row r="90" spans="1:2">
      <c r="A90" s="221" t="s">
        <v>1379</v>
      </c>
      <c r="B90" s="222" t="s">
        <v>1380</v>
      </c>
    </row>
    <row r="91" spans="1:2">
      <c r="A91" s="221" t="s">
        <v>1381</v>
      </c>
      <c r="B91" s="222" t="s">
        <v>1382</v>
      </c>
    </row>
    <row r="92" spans="1:2">
      <c r="A92" s="221" t="s">
        <v>1383</v>
      </c>
      <c r="B92" s="222" t="s">
        <v>1384</v>
      </c>
    </row>
    <row r="93" spans="1:2">
      <c r="A93" s="221" t="s">
        <v>1385</v>
      </c>
      <c r="B93" s="222" t="s">
        <v>1386</v>
      </c>
    </row>
    <row r="94" spans="1:2">
      <c r="A94" s="221" t="s">
        <v>1387</v>
      </c>
      <c r="B94" s="222" t="s">
        <v>1388</v>
      </c>
    </row>
    <row r="95" spans="1:2">
      <c r="A95" s="221" t="s">
        <v>1389</v>
      </c>
      <c r="B95" s="222" t="s">
        <v>1390</v>
      </c>
    </row>
    <row r="96" spans="1:2">
      <c r="A96" s="221" t="s">
        <v>1391</v>
      </c>
      <c r="B96" s="222" t="s">
        <v>1392</v>
      </c>
    </row>
    <row r="97" spans="1:2">
      <c r="A97" s="221" t="s">
        <v>1393</v>
      </c>
      <c r="B97" s="222" t="s">
        <v>1394</v>
      </c>
    </row>
    <row r="98" spans="1:2">
      <c r="A98" s="221" t="s">
        <v>1395</v>
      </c>
      <c r="B98" s="222" t="s">
        <v>1396</v>
      </c>
    </row>
    <row r="99" spans="1:2">
      <c r="A99" s="221" t="s">
        <v>1397</v>
      </c>
      <c r="B99" s="222" t="s">
        <v>1398</v>
      </c>
    </row>
    <row r="100" spans="1:2">
      <c r="A100" s="221" t="s">
        <v>1399</v>
      </c>
      <c r="B100" s="222" t="s">
        <v>1400</v>
      </c>
    </row>
    <row r="101" spans="1:2">
      <c r="A101" s="221" t="s">
        <v>1401</v>
      </c>
      <c r="B101" s="222" t="s">
        <v>1402</v>
      </c>
    </row>
    <row r="102" spans="1:2">
      <c r="A102" s="221" t="s">
        <v>1403</v>
      </c>
      <c r="B102" s="222" t="s">
        <v>1404</v>
      </c>
    </row>
    <row r="103" spans="1:2">
      <c r="A103" s="221" t="s">
        <v>1405</v>
      </c>
      <c r="B103" s="222" t="s">
        <v>1406</v>
      </c>
    </row>
    <row r="104" spans="1:2">
      <c r="A104" s="221" t="s">
        <v>1407</v>
      </c>
      <c r="B104" s="222" t="s">
        <v>1408</v>
      </c>
    </row>
    <row r="105" spans="1:2">
      <c r="A105" s="217" t="s">
        <v>1409</v>
      </c>
      <c r="B105" s="218" t="s">
        <v>1410</v>
      </c>
    </row>
    <row r="106" spans="1:2">
      <c r="A106" s="219" t="s">
        <v>1311</v>
      </c>
      <c r="B106" s="220" t="s">
        <v>1312</v>
      </c>
    </row>
    <row r="107" spans="1:2">
      <c r="A107" s="221" t="s">
        <v>1411</v>
      </c>
      <c r="B107" s="222" t="s">
        <v>1412</v>
      </c>
    </row>
    <row r="108" spans="1:2">
      <c r="A108" s="221" t="s">
        <v>1413</v>
      </c>
      <c r="B108" s="222" t="s">
        <v>1414</v>
      </c>
    </row>
    <row r="109" spans="1:2">
      <c r="A109" s="217" t="s">
        <v>1415</v>
      </c>
      <c r="B109" s="218" t="s">
        <v>1416</v>
      </c>
    </row>
    <row r="110" spans="1:2">
      <c r="A110" s="219" t="s">
        <v>1377</v>
      </c>
      <c r="B110" s="220" t="s">
        <v>1378</v>
      </c>
    </row>
    <row r="111" spans="1:2">
      <c r="A111" s="221" t="s">
        <v>1417</v>
      </c>
      <c r="B111" s="222" t="s">
        <v>1418</v>
      </c>
    </row>
    <row r="112" spans="1:2">
      <c r="A112" s="221" t="s">
        <v>1419</v>
      </c>
      <c r="B112" s="222" t="s">
        <v>1420</v>
      </c>
    </row>
    <row r="113" spans="1:2">
      <c r="A113" s="221" t="s">
        <v>1421</v>
      </c>
      <c r="B113" s="222" t="s">
        <v>1422</v>
      </c>
    </row>
    <row r="114" spans="1:2">
      <c r="A114" s="221" t="s">
        <v>1423</v>
      </c>
      <c r="B114" s="222" t="s">
        <v>1424</v>
      </c>
    </row>
    <row r="115" spans="1:2">
      <c r="A115" s="221" t="s">
        <v>1425</v>
      </c>
      <c r="B115" s="222" t="s">
        <v>1426</v>
      </c>
    </row>
    <row r="116" spans="1:2">
      <c r="A116" s="217" t="s">
        <v>1427</v>
      </c>
      <c r="B116" s="218" t="s">
        <v>1428</v>
      </c>
    </row>
    <row r="117" spans="1:2">
      <c r="A117" s="219" t="s">
        <v>1289</v>
      </c>
      <c r="B117" s="220" t="s">
        <v>1290</v>
      </c>
    </row>
    <row r="118" spans="1:2">
      <c r="A118" s="221" t="s">
        <v>1429</v>
      </c>
      <c r="B118" s="222" t="s">
        <v>1430</v>
      </c>
    </row>
    <row r="119" spans="1:2">
      <c r="A119" s="221" t="s">
        <v>1431</v>
      </c>
      <c r="B119" s="222" t="s">
        <v>1432</v>
      </c>
    </row>
    <row r="120" spans="1:2">
      <c r="A120" s="221" t="s">
        <v>1433</v>
      </c>
      <c r="B120" s="222" t="s">
        <v>1434</v>
      </c>
    </row>
    <row r="121" spans="1:2">
      <c r="A121" s="221" t="s">
        <v>1435</v>
      </c>
      <c r="B121" s="222" t="s">
        <v>1436</v>
      </c>
    </row>
    <row r="122" spans="1:2">
      <c r="A122" s="221" t="s">
        <v>1437</v>
      </c>
      <c r="B122" s="222" t="s">
        <v>1438</v>
      </c>
    </row>
    <row r="123" spans="1:2">
      <c r="A123" s="221" t="s">
        <v>1439</v>
      </c>
      <c r="B123" s="222" t="s">
        <v>1440</v>
      </c>
    </row>
    <row r="124" spans="1:2">
      <c r="A124" s="221" t="s">
        <v>1441</v>
      </c>
      <c r="B124" s="222" t="s">
        <v>1442</v>
      </c>
    </row>
    <row r="125" spans="1:2">
      <c r="A125" s="217" t="s">
        <v>1443</v>
      </c>
      <c r="B125" s="218" t="s">
        <v>1444</v>
      </c>
    </row>
    <row r="126" spans="1:2">
      <c r="A126" s="219" t="s">
        <v>1328</v>
      </c>
      <c r="B126" s="220" t="s">
        <v>1329</v>
      </c>
    </row>
    <row r="127" spans="1:2">
      <c r="A127" s="221" t="s">
        <v>1445</v>
      </c>
      <c r="B127" s="222" t="s">
        <v>1446</v>
      </c>
    </row>
    <row r="128" spans="1:2">
      <c r="A128" s="221" t="s">
        <v>1447</v>
      </c>
      <c r="B128" s="222" t="s">
        <v>1448</v>
      </c>
    </row>
    <row r="129" spans="1:2">
      <c r="A129" s="221" t="s">
        <v>1449</v>
      </c>
      <c r="B129" s="222" t="s">
        <v>1450</v>
      </c>
    </row>
    <row r="130" spans="1:2">
      <c r="A130" s="221" t="s">
        <v>1451</v>
      </c>
      <c r="B130" s="222" t="s">
        <v>1452</v>
      </c>
    </row>
    <row r="131" spans="1:2">
      <c r="A131" s="221" t="s">
        <v>1453</v>
      </c>
      <c r="B131" s="222" t="s">
        <v>1454</v>
      </c>
    </row>
    <row r="132" spans="1:2">
      <c r="A132" s="221" t="s">
        <v>1455</v>
      </c>
      <c r="B132" s="222" t="s">
        <v>1456</v>
      </c>
    </row>
    <row r="133" spans="1:2">
      <c r="A133" s="221" t="s">
        <v>1457</v>
      </c>
      <c r="B133" s="222" t="s">
        <v>1458</v>
      </c>
    </row>
    <row r="134" spans="1:2">
      <c r="A134" s="221" t="s">
        <v>1459</v>
      </c>
      <c r="B134" s="222" t="s">
        <v>1460</v>
      </c>
    </row>
    <row r="135" spans="1:2">
      <c r="A135" s="221" t="s">
        <v>1461</v>
      </c>
      <c r="B135" s="222" t="s">
        <v>1462</v>
      </c>
    </row>
    <row r="136" spans="1:2">
      <c r="A136" s="221" t="s">
        <v>1463</v>
      </c>
      <c r="B136" s="222" t="s">
        <v>1464</v>
      </c>
    </row>
    <row r="137" spans="1:2">
      <c r="A137" s="221" t="s">
        <v>1465</v>
      </c>
      <c r="B137" s="222" t="s">
        <v>1466</v>
      </c>
    </row>
    <row r="138" spans="1:2">
      <c r="A138" s="221" t="s">
        <v>1467</v>
      </c>
      <c r="B138" s="222" t="s">
        <v>1468</v>
      </c>
    </row>
    <row r="139" spans="1:2">
      <c r="A139" s="221" t="s">
        <v>1469</v>
      </c>
      <c r="B139" s="222" t="s">
        <v>1470</v>
      </c>
    </row>
    <row r="140" spans="1:2">
      <c r="A140" s="221" t="s">
        <v>1471</v>
      </c>
      <c r="B140" s="222" t="s">
        <v>1472</v>
      </c>
    </row>
    <row r="141" spans="1:2">
      <c r="A141" s="221" t="s">
        <v>1473</v>
      </c>
      <c r="B141" s="222" t="s">
        <v>1474</v>
      </c>
    </row>
    <row r="142" spans="1:2">
      <c r="A142" s="221" t="s">
        <v>1475</v>
      </c>
      <c r="B142" s="222" t="s">
        <v>1476</v>
      </c>
    </row>
    <row r="143" spans="1:2">
      <c r="A143" s="221" t="s">
        <v>1477</v>
      </c>
      <c r="B143" s="222" t="s">
        <v>1478</v>
      </c>
    </row>
    <row r="144" spans="1:2">
      <c r="A144" s="221" t="s">
        <v>1479</v>
      </c>
      <c r="B144" s="222" t="s">
        <v>660</v>
      </c>
    </row>
    <row r="145" spans="1:2">
      <c r="A145" s="221" t="s">
        <v>1480</v>
      </c>
      <c r="B145" s="222" t="s">
        <v>1481</v>
      </c>
    </row>
    <row r="146" spans="1:2">
      <c r="A146" s="221" t="s">
        <v>1482</v>
      </c>
      <c r="B146" s="222" t="s">
        <v>1483</v>
      </c>
    </row>
    <row r="147" spans="1:2">
      <c r="A147" s="217" t="s">
        <v>1484</v>
      </c>
      <c r="B147" s="218" t="s">
        <v>1485</v>
      </c>
    </row>
    <row r="148" spans="1:2">
      <c r="A148" s="219" t="s">
        <v>1289</v>
      </c>
      <c r="B148" s="220" t="s">
        <v>1290</v>
      </c>
    </row>
    <row r="149" spans="1:2">
      <c r="A149" s="221" t="s">
        <v>1486</v>
      </c>
      <c r="B149" s="222" t="s">
        <v>1487</v>
      </c>
    </row>
    <row r="150" spans="1:2">
      <c r="A150" s="221" t="s">
        <v>1488</v>
      </c>
      <c r="B150" s="222" t="s">
        <v>1489</v>
      </c>
    </row>
    <row r="151" spans="1:2">
      <c r="A151" s="221" t="s">
        <v>1490</v>
      </c>
      <c r="B151" s="222" t="s">
        <v>1491</v>
      </c>
    </row>
    <row r="152" spans="1:2">
      <c r="A152" s="221" t="s">
        <v>1492</v>
      </c>
      <c r="B152" s="222" t="s">
        <v>1493</v>
      </c>
    </row>
    <row r="153" spans="1:2">
      <c r="A153" s="221" t="s">
        <v>1494</v>
      </c>
      <c r="B153" s="222" t="s">
        <v>1495</v>
      </c>
    </row>
    <row r="154" spans="1:2">
      <c r="A154" s="221" t="s">
        <v>1496</v>
      </c>
      <c r="B154" s="222" t="s">
        <v>1497</v>
      </c>
    </row>
    <row r="155" spans="1:2">
      <c r="A155" s="221" t="s">
        <v>1498</v>
      </c>
      <c r="B155" s="222" t="s">
        <v>1499</v>
      </c>
    </row>
    <row r="156" spans="1:2">
      <c r="A156" s="221" t="s">
        <v>1500</v>
      </c>
      <c r="B156" s="222" t="s">
        <v>1501</v>
      </c>
    </row>
    <row r="157" spans="1:2">
      <c r="A157" s="221" t="s">
        <v>1502</v>
      </c>
      <c r="B157" s="222" t="s">
        <v>1503</v>
      </c>
    </row>
    <row r="158" spans="1:2">
      <c r="A158" s="219" t="s">
        <v>1377</v>
      </c>
      <c r="B158" s="220" t="s">
        <v>1378</v>
      </c>
    </row>
    <row r="159" spans="1:2">
      <c r="A159" s="221" t="s">
        <v>1504</v>
      </c>
      <c r="B159" s="222" t="s">
        <v>1505</v>
      </c>
    </row>
    <row r="160" spans="1:2">
      <c r="A160" s="217" t="s">
        <v>1506</v>
      </c>
      <c r="B160" s="218" t="s">
        <v>1507</v>
      </c>
    </row>
    <row r="161" spans="1:2">
      <c r="A161" s="219" t="s">
        <v>1289</v>
      </c>
      <c r="B161" s="220" t="s">
        <v>1290</v>
      </c>
    </row>
    <row r="162" spans="1:2">
      <c r="A162" s="221" t="s">
        <v>1508</v>
      </c>
      <c r="B162" s="222" t="s">
        <v>1509</v>
      </c>
    </row>
    <row r="163" spans="1:2">
      <c r="A163" s="221" t="s">
        <v>1510</v>
      </c>
      <c r="B163" s="222" t="s">
        <v>1511</v>
      </c>
    </row>
    <row r="164" spans="1:2">
      <c r="A164" s="221" t="s">
        <v>1512</v>
      </c>
      <c r="B164" s="222" t="s">
        <v>1513</v>
      </c>
    </row>
    <row r="165" spans="1:2">
      <c r="A165" s="221" t="s">
        <v>1514</v>
      </c>
      <c r="B165" s="222" t="s">
        <v>1515</v>
      </c>
    </row>
    <row r="166" spans="1:2">
      <c r="A166" s="221" t="s">
        <v>1516</v>
      </c>
      <c r="B166" s="222" t="s">
        <v>1517</v>
      </c>
    </row>
    <row r="167" spans="1:2">
      <c r="A167" s="221" t="s">
        <v>1518</v>
      </c>
      <c r="B167" s="222" t="s">
        <v>1519</v>
      </c>
    </row>
    <row r="168" spans="1:2">
      <c r="A168" s="221" t="s">
        <v>1520</v>
      </c>
      <c r="B168" s="222" t="s">
        <v>1521</v>
      </c>
    </row>
    <row r="169" spans="1:2">
      <c r="A169" s="221" t="s">
        <v>1522</v>
      </c>
      <c r="B169" s="222" t="s">
        <v>1523</v>
      </c>
    </row>
    <row r="170" spans="1:2">
      <c r="A170" s="221" t="s">
        <v>1524</v>
      </c>
      <c r="B170" s="222" t="s">
        <v>1525</v>
      </c>
    </row>
    <row r="171" spans="1:2">
      <c r="A171" s="221" t="s">
        <v>1526</v>
      </c>
      <c r="B171" s="222" t="s">
        <v>1527</v>
      </c>
    </row>
    <row r="172" spans="1:2">
      <c r="A172" s="221" t="s">
        <v>1528</v>
      </c>
      <c r="B172" s="222" t="s">
        <v>1529</v>
      </c>
    </row>
    <row r="173" spans="1:2">
      <c r="A173" s="221" t="s">
        <v>1530</v>
      </c>
      <c r="B173" s="222" t="s">
        <v>1531</v>
      </c>
    </row>
    <row r="174" spans="1:2">
      <c r="A174" s="221" t="s">
        <v>1532</v>
      </c>
      <c r="B174" s="222" t="s">
        <v>1533</v>
      </c>
    </row>
    <row r="175" spans="1:2">
      <c r="A175" s="221" t="s">
        <v>1534</v>
      </c>
      <c r="B175" s="222" t="s">
        <v>1535</v>
      </c>
    </row>
    <row r="176" spans="1:2">
      <c r="A176" s="221" t="s">
        <v>1536</v>
      </c>
      <c r="B176" s="222" t="s">
        <v>1537</v>
      </c>
    </row>
    <row r="177" spans="1:2">
      <c r="A177" s="221" t="s">
        <v>1538</v>
      </c>
      <c r="B177" s="222" t="s">
        <v>1539</v>
      </c>
    </row>
    <row r="178" spans="1:2">
      <c r="A178" s="221" t="s">
        <v>1540</v>
      </c>
      <c r="B178" s="222" t="s">
        <v>1541</v>
      </c>
    </row>
    <row r="179" spans="1:2">
      <c r="A179" s="221" t="s">
        <v>1542</v>
      </c>
      <c r="B179" s="222" t="s">
        <v>1543</v>
      </c>
    </row>
    <row r="180" spans="1:2">
      <c r="A180" s="221" t="s">
        <v>1544</v>
      </c>
      <c r="B180" s="222" t="s">
        <v>1545</v>
      </c>
    </row>
    <row r="181" spans="1:2">
      <c r="A181" s="217" t="s">
        <v>1546</v>
      </c>
      <c r="B181" s="218" t="s">
        <v>1547</v>
      </c>
    </row>
    <row r="182" spans="1:2">
      <c r="A182" s="219" t="s">
        <v>1289</v>
      </c>
      <c r="B182" s="220" t="s">
        <v>1290</v>
      </c>
    </row>
    <row r="183" spans="1:2">
      <c r="A183" s="221" t="s">
        <v>1548</v>
      </c>
      <c r="B183" s="222" t="s">
        <v>1549</v>
      </c>
    </row>
    <row r="184" spans="1:2">
      <c r="A184" s="221" t="s">
        <v>1550</v>
      </c>
      <c r="B184" s="222" t="s">
        <v>1551</v>
      </c>
    </row>
    <row r="185" spans="1:2">
      <c r="A185" s="221" t="s">
        <v>1552</v>
      </c>
      <c r="B185" s="222" t="s">
        <v>1553</v>
      </c>
    </row>
    <row r="186" spans="1:2">
      <c r="A186" s="221" t="s">
        <v>1554</v>
      </c>
      <c r="B186" s="222" t="s">
        <v>1555</v>
      </c>
    </row>
    <row r="187" spans="1:2">
      <c r="A187" s="221" t="s">
        <v>1556</v>
      </c>
      <c r="B187" s="222" t="s">
        <v>1557</v>
      </c>
    </row>
    <row r="188" spans="1:2">
      <c r="A188" s="221" t="s">
        <v>1558</v>
      </c>
      <c r="B188" s="222" t="s">
        <v>1559</v>
      </c>
    </row>
    <row r="189" spans="1:2">
      <c r="A189" s="221" t="s">
        <v>1560</v>
      </c>
      <c r="B189" s="222" t="s">
        <v>1561</v>
      </c>
    </row>
    <row r="190" spans="1:2">
      <c r="A190" s="221" t="s">
        <v>1562</v>
      </c>
      <c r="B190" s="222" t="s">
        <v>1563</v>
      </c>
    </row>
    <row r="191" spans="1:2">
      <c r="A191" s="221" t="s">
        <v>1564</v>
      </c>
      <c r="B191" s="222" t="s">
        <v>1565</v>
      </c>
    </row>
    <row r="192" spans="1:2">
      <c r="A192" s="221" t="s">
        <v>1566</v>
      </c>
      <c r="B192" s="222" t="s">
        <v>1567</v>
      </c>
    </row>
    <row r="193" spans="1:2">
      <c r="A193" s="221" t="s">
        <v>1568</v>
      </c>
      <c r="B193" s="222" t="s">
        <v>1569</v>
      </c>
    </row>
    <row r="194" spans="1:2">
      <c r="A194" s="221" t="s">
        <v>1570</v>
      </c>
      <c r="B194" s="222" t="s">
        <v>1571</v>
      </c>
    </row>
    <row r="195" spans="1:2">
      <c r="A195" s="221" t="s">
        <v>1572</v>
      </c>
      <c r="B195" s="222" t="s">
        <v>1573</v>
      </c>
    </row>
    <row r="196" spans="1:2">
      <c r="A196" s="221" t="s">
        <v>1574</v>
      </c>
      <c r="B196" s="222" t="s">
        <v>1575</v>
      </c>
    </row>
    <row r="197" spans="1:2">
      <c r="A197" s="221" t="s">
        <v>1576</v>
      </c>
      <c r="B197" s="222" t="s">
        <v>660</v>
      </c>
    </row>
    <row r="198" spans="1:2">
      <c r="A198" s="221" t="s">
        <v>1577</v>
      </c>
      <c r="B198" s="222" t="s">
        <v>1578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67"/>
  <sheetViews>
    <sheetView zoomScaleNormal="100" workbookViewId="0">
      <selection activeCell="G8" sqref="G8"/>
    </sheetView>
  </sheetViews>
  <sheetFormatPr defaultRowHeight="14.4"/>
  <cols>
    <col min="1" max="1" width="19.88671875" customWidth="1"/>
    <col min="2" max="2" width="122.109375" customWidth="1"/>
    <col min="3" max="1025" width="8.6640625" customWidth="1"/>
  </cols>
  <sheetData>
    <row r="1" spans="1:2">
      <c r="A1" s="223" t="s">
        <v>1579</v>
      </c>
      <c r="B1" s="224"/>
    </row>
    <row r="2" spans="1:2">
      <c r="A2" s="223" t="s">
        <v>1284</v>
      </c>
      <c r="B2" s="224" t="s">
        <v>294</v>
      </c>
    </row>
    <row r="3" spans="1:2">
      <c r="A3" s="225" t="s">
        <v>1287</v>
      </c>
      <c r="B3" s="226" t="s">
        <v>1288</v>
      </c>
    </row>
    <row r="4" spans="1:2">
      <c r="A4" s="227" t="s">
        <v>1289</v>
      </c>
      <c r="B4" s="228" t="s">
        <v>1290</v>
      </c>
    </row>
    <row r="5" spans="1:2">
      <c r="A5" s="227" t="s">
        <v>1303</v>
      </c>
      <c r="B5" s="228" t="s">
        <v>663</v>
      </c>
    </row>
    <row r="6" spans="1:2">
      <c r="A6" s="229" t="s">
        <v>1580</v>
      </c>
      <c r="B6" s="230" t="s">
        <v>1581</v>
      </c>
    </row>
    <row r="7" spans="1:2">
      <c r="A7" s="227" t="s">
        <v>1304</v>
      </c>
      <c r="B7" s="228" t="s">
        <v>660</v>
      </c>
    </row>
    <row r="8" spans="1:2" ht="20.399999999999999">
      <c r="A8" s="229" t="s">
        <v>1582</v>
      </c>
      <c r="B8" s="230" t="s">
        <v>1583</v>
      </c>
    </row>
    <row r="9" spans="1:2">
      <c r="A9" s="229" t="s">
        <v>1584</v>
      </c>
      <c r="B9" s="230" t="s">
        <v>1585</v>
      </c>
    </row>
    <row r="10" spans="1:2">
      <c r="A10" s="229" t="s">
        <v>1586</v>
      </c>
      <c r="B10" s="230" t="s">
        <v>1587</v>
      </c>
    </row>
    <row r="11" spans="1:2">
      <c r="A11" s="229" t="s">
        <v>1588</v>
      </c>
      <c r="B11" s="230" t="s">
        <v>1589</v>
      </c>
    </row>
    <row r="12" spans="1:2">
      <c r="A12" s="229" t="s">
        <v>1590</v>
      </c>
      <c r="B12" s="230" t="s">
        <v>1591</v>
      </c>
    </row>
    <row r="13" spans="1:2">
      <c r="A13" s="229" t="s">
        <v>1592</v>
      </c>
      <c r="B13" s="230" t="s">
        <v>1204</v>
      </c>
    </row>
    <row r="14" spans="1:2">
      <c r="A14" s="229" t="s">
        <v>1593</v>
      </c>
      <c r="B14" s="230" t="s">
        <v>1206</v>
      </c>
    </row>
    <row r="15" spans="1:2">
      <c r="A15" s="229" t="s">
        <v>1594</v>
      </c>
      <c r="B15" s="230" t="s">
        <v>1208</v>
      </c>
    </row>
    <row r="16" spans="1:2">
      <c r="A16" s="229" t="s">
        <v>1595</v>
      </c>
      <c r="B16" s="230" t="s">
        <v>1596</v>
      </c>
    </row>
    <row r="17" spans="1:2">
      <c r="A17" s="229" t="s">
        <v>1597</v>
      </c>
      <c r="B17" s="230" t="s">
        <v>1598</v>
      </c>
    </row>
    <row r="18" spans="1:2">
      <c r="A18" s="229" t="s">
        <v>1599</v>
      </c>
      <c r="B18" s="230" t="s">
        <v>1600</v>
      </c>
    </row>
    <row r="19" spans="1:2">
      <c r="A19" s="229" t="s">
        <v>1601</v>
      </c>
      <c r="B19" s="230" t="s">
        <v>1602</v>
      </c>
    </row>
    <row r="20" spans="1:2">
      <c r="A20" s="229" t="s">
        <v>1603</v>
      </c>
      <c r="B20" s="230" t="s">
        <v>1604</v>
      </c>
    </row>
    <row r="21" spans="1:2">
      <c r="A21" s="229" t="s">
        <v>1605</v>
      </c>
      <c r="B21" s="230" t="s">
        <v>1606</v>
      </c>
    </row>
    <row r="22" spans="1:2">
      <c r="A22" s="229" t="s">
        <v>1607</v>
      </c>
      <c r="B22" s="230" t="s">
        <v>1608</v>
      </c>
    </row>
    <row r="23" spans="1:2">
      <c r="A23" s="229" t="s">
        <v>1609</v>
      </c>
      <c r="B23" s="230" t="s">
        <v>1610</v>
      </c>
    </row>
    <row r="24" spans="1:2">
      <c r="A24" s="229" t="s">
        <v>1611</v>
      </c>
      <c r="B24" s="230" t="s">
        <v>1612</v>
      </c>
    </row>
    <row r="25" spans="1:2">
      <c r="A25" s="229" t="s">
        <v>1613</v>
      </c>
      <c r="B25" s="230" t="s">
        <v>1614</v>
      </c>
    </row>
    <row r="26" spans="1:2">
      <c r="A26" s="229" t="s">
        <v>1615</v>
      </c>
      <c r="B26" s="230" t="s">
        <v>1616</v>
      </c>
    </row>
    <row r="27" spans="1:2">
      <c r="A27" s="229" t="s">
        <v>1617</v>
      </c>
      <c r="B27" s="230" t="s">
        <v>1618</v>
      </c>
    </row>
    <row r="28" spans="1:2">
      <c r="A28" s="229" t="s">
        <v>1619</v>
      </c>
      <c r="B28" s="230" t="s">
        <v>1620</v>
      </c>
    </row>
    <row r="29" spans="1:2">
      <c r="A29" s="229" t="s">
        <v>1621</v>
      </c>
      <c r="B29" s="230" t="s">
        <v>1622</v>
      </c>
    </row>
    <row r="30" spans="1:2">
      <c r="A30" s="229" t="s">
        <v>1623</v>
      </c>
      <c r="B30" s="230" t="s">
        <v>1624</v>
      </c>
    </row>
    <row r="31" spans="1:2">
      <c r="A31" s="227" t="s">
        <v>1311</v>
      </c>
      <c r="B31" s="231" t="s">
        <v>1312</v>
      </c>
    </row>
    <row r="32" spans="1:2">
      <c r="A32" s="227" t="s">
        <v>1323</v>
      </c>
      <c r="B32" s="231" t="s">
        <v>658</v>
      </c>
    </row>
    <row r="33" spans="1:2">
      <c r="A33" s="229" t="s">
        <v>1625</v>
      </c>
      <c r="B33" s="230" t="s">
        <v>1626</v>
      </c>
    </row>
    <row r="34" spans="1:2">
      <c r="A34" s="229" t="s">
        <v>1627</v>
      </c>
      <c r="B34" s="230" t="s">
        <v>1628</v>
      </c>
    </row>
    <row r="35" spans="1:2">
      <c r="A35" s="229" t="s">
        <v>1629</v>
      </c>
      <c r="B35" s="230" t="s">
        <v>1630</v>
      </c>
    </row>
    <row r="36" spans="1:2">
      <c r="A36" s="229" t="s">
        <v>1631</v>
      </c>
      <c r="B36" s="230" t="s">
        <v>1198</v>
      </c>
    </row>
    <row r="37" spans="1:2">
      <c r="A37" s="229" t="s">
        <v>1632</v>
      </c>
      <c r="B37" s="230" t="s">
        <v>1633</v>
      </c>
    </row>
    <row r="38" spans="1:2">
      <c r="A38" s="229" t="s">
        <v>1634</v>
      </c>
      <c r="B38" s="230" t="s">
        <v>1635</v>
      </c>
    </row>
    <row r="39" spans="1:2">
      <c r="A39" s="229" t="s">
        <v>1636</v>
      </c>
      <c r="B39" s="230" t="s">
        <v>1637</v>
      </c>
    </row>
    <row r="40" spans="1:2">
      <c r="A40" s="229" t="s">
        <v>1638</v>
      </c>
      <c r="B40" s="230" t="s">
        <v>1639</v>
      </c>
    </row>
    <row r="41" spans="1:2">
      <c r="A41" s="229" t="s">
        <v>1640</v>
      </c>
      <c r="B41" s="230" t="s">
        <v>1641</v>
      </c>
    </row>
    <row r="42" spans="1:2">
      <c r="A42" s="225" t="s">
        <v>24</v>
      </c>
      <c r="B42" s="232" t="s">
        <v>23</v>
      </c>
    </row>
    <row r="43" spans="1:2">
      <c r="A43" s="227" t="s">
        <v>1328</v>
      </c>
      <c r="B43" s="231" t="s">
        <v>1329</v>
      </c>
    </row>
    <row r="44" spans="1:2">
      <c r="A44" s="227" t="s">
        <v>596</v>
      </c>
      <c r="B44" s="231" t="s">
        <v>1334</v>
      </c>
    </row>
    <row r="45" spans="1:2">
      <c r="A45" s="229" t="s">
        <v>915</v>
      </c>
      <c r="B45" s="230" t="s">
        <v>916</v>
      </c>
    </row>
    <row r="46" spans="1:2">
      <c r="A46" s="229" t="s">
        <v>917</v>
      </c>
      <c r="B46" s="230" t="s">
        <v>918</v>
      </c>
    </row>
    <row r="47" spans="1:2">
      <c r="A47" s="229" t="s">
        <v>919</v>
      </c>
      <c r="B47" s="230" t="s">
        <v>920</v>
      </c>
    </row>
    <row r="48" spans="1:2">
      <c r="A48" s="229" t="s">
        <v>921</v>
      </c>
      <c r="B48" s="230" t="s">
        <v>922</v>
      </c>
    </row>
    <row r="49" spans="1:2">
      <c r="A49" s="229" t="s">
        <v>923</v>
      </c>
      <c r="B49" s="230" t="s">
        <v>924</v>
      </c>
    </row>
    <row r="50" spans="1:2">
      <c r="A50" s="229" t="s">
        <v>925</v>
      </c>
      <c r="B50" s="230" t="s">
        <v>926</v>
      </c>
    </row>
    <row r="51" spans="1:2">
      <c r="A51" s="229" t="s">
        <v>927</v>
      </c>
      <c r="B51" s="230" t="s">
        <v>928</v>
      </c>
    </row>
    <row r="52" spans="1:2">
      <c r="A52" s="229" t="s">
        <v>929</v>
      </c>
      <c r="B52" s="230" t="s">
        <v>930</v>
      </c>
    </row>
    <row r="53" spans="1:2">
      <c r="A53" s="229" t="s">
        <v>931</v>
      </c>
      <c r="B53" s="230" t="s">
        <v>932</v>
      </c>
    </row>
    <row r="54" spans="1:2">
      <c r="A54" s="227" t="s">
        <v>599</v>
      </c>
      <c r="B54" s="231" t="s">
        <v>1335</v>
      </c>
    </row>
    <row r="55" spans="1:2">
      <c r="A55" s="229" t="s">
        <v>933</v>
      </c>
      <c r="B55" s="230" t="s">
        <v>934</v>
      </c>
    </row>
    <row r="56" spans="1:2">
      <c r="A56" s="229" t="s">
        <v>935</v>
      </c>
      <c r="B56" s="230" t="s">
        <v>936</v>
      </c>
    </row>
    <row r="57" spans="1:2">
      <c r="A57" s="229" t="s">
        <v>937</v>
      </c>
      <c r="B57" s="230" t="s">
        <v>938</v>
      </c>
    </row>
    <row r="58" spans="1:2">
      <c r="A58" s="229" t="s">
        <v>939</v>
      </c>
      <c r="B58" s="230" t="s">
        <v>940</v>
      </c>
    </row>
    <row r="59" spans="1:2">
      <c r="A59" s="229" t="s">
        <v>941</v>
      </c>
      <c r="B59" s="230" t="s">
        <v>942</v>
      </c>
    </row>
    <row r="60" spans="1:2">
      <c r="A60" s="229" t="s">
        <v>943</v>
      </c>
      <c r="B60" s="230" t="s">
        <v>944</v>
      </c>
    </row>
    <row r="61" spans="1:2">
      <c r="A61" s="229" t="s">
        <v>945</v>
      </c>
      <c r="B61" s="230" t="s">
        <v>946</v>
      </c>
    </row>
    <row r="62" spans="1:2">
      <c r="A62" s="229" t="s">
        <v>947</v>
      </c>
      <c r="B62" s="230" t="s">
        <v>948</v>
      </c>
    </row>
    <row r="63" spans="1:2">
      <c r="A63" s="229" t="s">
        <v>949</v>
      </c>
      <c r="B63" s="230" t="s">
        <v>950</v>
      </c>
    </row>
    <row r="64" spans="1:2">
      <c r="A64" s="229" t="s">
        <v>951</v>
      </c>
      <c r="B64" s="230" t="s">
        <v>952</v>
      </c>
    </row>
    <row r="65" spans="1:2">
      <c r="A65" s="229" t="s">
        <v>953</v>
      </c>
      <c r="B65" s="230" t="s">
        <v>954</v>
      </c>
    </row>
    <row r="66" spans="1:2">
      <c r="A66" s="229" t="s">
        <v>955</v>
      </c>
      <c r="B66" s="230" t="s">
        <v>956</v>
      </c>
    </row>
    <row r="67" spans="1:2">
      <c r="A67" s="229" t="s">
        <v>957</v>
      </c>
      <c r="B67" s="230" t="s">
        <v>958</v>
      </c>
    </row>
    <row r="68" spans="1:2">
      <c r="A68" s="229" t="s">
        <v>959</v>
      </c>
      <c r="B68" s="230" t="s">
        <v>960</v>
      </c>
    </row>
    <row r="69" spans="1:2">
      <c r="A69" s="229" t="s">
        <v>961</v>
      </c>
      <c r="B69" s="230" t="s">
        <v>962</v>
      </c>
    </row>
    <row r="70" spans="1:2">
      <c r="A70" s="229" t="s">
        <v>963</v>
      </c>
      <c r="B70" s="230" t="s">
        <v>964</v>
      </c>
    </row>
    <row r="71" spans="1:2">
      <c r="A71" s="229" t="s">
        <v>965</v>
      </c>
      <c r="B71" s="230" t="s">
        <v>966</v>
      </c>
    </row>
    <row r="72" spans="1:2">
      <c r="A72" s="229" t="s">
        <v>967</v>
      </c>
      <c r="B72" s="230" t="s">
        <v>968</v>
      </c>
    </row>
    <row r="73" spans="1:2">
      <c r="A73" s="229" t="s">
        <v>969</v>
      </c>
      <c r="B73" s="230" t="s">
        <v>970</v>
      </c>
    </row>
    <row r="74" spans="1:2">
      <c r="A74" s="229" t="s">
        <v>971</v>
      </c>
      <c r="B74" s="230" t="s">
        <v>972</v>
      </c>
    </row>
    <row r="75" spans="1:2">
      <c r="A75" s="229" t="s">
        <v>973</v>
      </c>
      <c r="B75" s="230" t="s">
        <v>974</v>
      </c>
    </row>
    <row r="76" spans="1:2">
      <c r="A76" s="229" t="s">
        <v>975</v>
      </c>
      <c r="B76" s="230" t="s">
        <v>976</v>
      </c>
    </row>
    <row r="77" spans="1:2">
      <c r="A77" s="229" t="s">
        <v>977</v>
      </c>
      <c r="B77" s="230" t="s">
        <v>978</v>
      </c>
    </row>
    <row r="78" spans="1:2">
      <c r="A78" s="227" t="s">
        <v>605</v>
      </c>
      <c r="B78" s="231" t="s">
        <v>1337</v>
      </c>
    </row>
    <row r="79" spans="1:2">
      <c r="A79" s="229" t="s">
        <v>979</v>
      </c>
      <c r="B79" s="230" t="s">
        <v>980</v>
      </c>
    </row>
    <row r="80" spans="1:2">
      <c r="A80" s="229" t="s">
        <v>981</v>
      </c>
      <c r="B80" s="230" t="s">
        <v>982</v>
      </c>
    </row>
    <row r="81" spans="1:2">
      <c r="A81" s="229" t="s">
        <v>983</v>
      </c>
      <c r="B81" s="230" t="s">
        <v>984</v>
      </c>
    </row>
    <row r="82" spans="1:2">
      <c r="A82" s="229" t="s">
        <v>985</v>
      </c>
      <c r="B82" s="230" t="s">
        <v>986</v>
      </c>
    </row>
    <row r="83" spans="1:2">
      <c r="A83" s="229" t="s">
        <v>987</v>
      </c>
      <c r="B83" s="230" t="s">
        <v>988</v>
      </c>
    </row>
    <row r="84" spans="1:2">
      <c r="A84" s="229" t="s">
        <v>989</v>
      </c>
      <c r="B84" s="230" t="s">
        <v>990</v>
      </c>
    </row>
    <row r="85" spans="1:2">
      <c r="A85" s="229" t="s">
        <v>991</v>
      </c>
      <c r="B85" s="230" t="s">
        <v>992</v>
      </c>
    </row>
    <row r="86" spans="1:2">
      <c r="A86" s="229" t="s">
        <v>993</v>
      </c>
      <c r="B86" s="230" t="s">
        <v>994</v>
      </c>
    </row>
    <row r="87" spans="1:2">
      <c r="A87" s="227" t="s">
        <v>608</v>
      </c>
      <c r="B87" s="231" t="s">
        <v>1338</v>
      </c>
    </row>
    <row r="88" spans="1:2">
      <c r="A88" s="229" t="s">
        <v>995</v>
      </c>
      <c r="B88" s="230" t="s">
        <v>996</v>
      </c>
    </row>
    <row r="89" spans="1:2">
      <c r="A89" s="229" t="s">
        <v>997</v>
      </c>
      <c r="B89" s="230" t="s">
        <v>998</v>
      </c>
    </row>
    <row r="90" spans="1:2">
      <c r="A90" s="229" t="s">
        <v>999</v>
      </c>
      <c r="B90" s="230" t="s">
        <v>1000</v>
      </c>
    </row>
    <row r="91" spans="1:2">
      <c r="A91" s="229" t="s">
        <v>1001</v>
      </c>
      <c r="B91" s="230" t="s">
        <v>1002</v>
      </c>
    </row>
    <row r="92" spans="1:2">
      <c r="A92" s="229" t="s">
        <v>1003</v>
      </c>
      <c r="B92" s="230" t="s">
        <v>1004</v>
      </c>
    </row>
    <row r="93" spans="1:2">
      <c r="A93" s="229" t="s">
        <v>1005</v>
      </c>
      <c r="B93" s="230" t="s">
        <v>1006</v>
      </c>
    </row>
    <row r="94" spans="1:2">
      <c r="A94" s="229" t="s">
        <v>1007</v>
      </c>
      <c r="B94" s="230" t="s">
        <v>1008</v>
      </c>
    </row>
    <row r="95" spans="1:2">
      <c r="A95" s="229" t="s">
        <v>1009</v>
      </c>
      <c r="B95" s="230" t="s">
        <v>1010</v>
      </c>
    </row>
    <row r="96" spans="1:2">
      <c r="A96" s="227" t="s">
        <v>611</v>
      </c>
      <c r="B96" s="231" t="s">
        <v>1339</v>
      </c>
    </row>
    <row r="97" spans="1:2">
      <c r="A97" s="229" t="s">
        <v>1011</v>
      </c>
      <c r="B97" s="230" t="s">
        <v>1012</v>
      </c>
    </row>
    <row r="98" spans="1:2">
      <c r="A98" s="229" t="s">
        <v>1013</v>
      </c>
      <c r="B98" s="230" t="s">
        <v>1014</v>
      </c>
    </row>
    <row r="99" spans="1:2">
      <c r="A99" s="229" t="s">
        <v>1015</v>
      </c>
      <c r="B99" s="230" t="s">
        <v>1016</v>
      </c>
    </row>
    <row r="100" spans="1:2">
      <c r="A100" s="227" t="s">
        <v>614</v>
      </c>
      <c r="B100" s="231" t="s">
        <v>1340</v>
      </c>
    </row>
    <row r="101" spans="1:2">
      <c r="A101" s="229" t="s">
        <v>1017</v>
      </c>
      <c r="B101" s="230" t="s">
        <v>1018</v>
      </c>
    </row>
    <row r="102" spans="1:2">
      <c r="A102" s="229" t="s">
        <v>1019</v>
      </c>
      <c r="B102" s="230" t="s">
        <v>1020</v>
      </c>
    </row>
    <row r="103" spans="1:2">
      <c r="A103" s="229" t="s">
        <v>1021</v>
      </c>
      <c r="B103" s="230" t="s">
        <v>1022</v>
      </c>
    </row>
    <row r="104" spans="1:2">
      <c r="A104" s="229" t="s">
        <v>1023</v>
      </c>
      <c r="B104" s="230" t="s">
        <v>1024</v>
      </c>
    </row>
    <row r="105" spans="1:2">
      <c r="A105" s="229" t="s">
        <v>1025</v>
      </c>
      <c r="B105" s="230" t="s">
        <v>1026</v>
      </c>
    </row>
    <row r="106" spans="1:2">
      <c r="A106" s="229" t="s">
        <v>1027</v>
      </c>
      <c r="B106" s="230" t="s">
        <v>1028</v>
      </c>
    </row>
    <row r="107" spans="1:2">
      <c r="A107" s="229" t="s">
        <v>1029</v>
      </c>
      <c r="B107" s="230" t="s">
        <v>1030</v>
      </c>
    </row>
    <row r="108" spans="1:2">
      <c r="A108" s="229" t="s">
        <v>1031</v>
      </c>
      <c r="B108" s="230" t="s">
        <v>1032</v>
      </c>
    </row>
    <row r="109" spans="1:2">
      <c r="A109" s="229" t="s">
        <v>1033</v>
      </c>
      <c r="B109" s="230" t="s">
        <v>1034</v>
      </c>
    </row>
    <row r="110" spans="1:2">
      <c r="A110" s="229" t="s">
        <v>1035</v>
      </c>
      <c r="B110" s="230" t="s">
        <v>1036</v>
      </c>
    </row>
    <row r="111" spans="1:2">
      <c r="A111" s="229" t="s">
        <v>1037</v>
      </c>
      <c r="B111" s="230" t="s">
        <v>1038</v>
      </c>
    </row>
    <row r="112" spans="1:2">
      <c r="A112" s="229" t="s">
        <v>1039</v>
      </c>
      <c r="B112" s="230" t="s">
        <v>1040</v>
      </c>
    </row>
    <row r="113" spans="1:2">
      <c r="A113" s="229" t="s">
        <v>1041</v>
      </c>
      <c r="B113" s="230" t="s">
        <v>1042</v>
      </c>
    </row>
    <row r="114" spans="1:2">
      <c r="A114" s="229" t="s">
        <v>1043</v>
      </c>
      <c r="B114" s="230" t="s">
        <v>1044</v>
      </c>
    </row>
    <row r="115" spans="1:2">
      <c r="A115" s="229" t="s">
        <v>1045</v>
      </c>
      <c r="B115" s="230" t="s">
        <v>1046</v>
      </c>
    </row>
    <row r="116" spans="1:2">
      <c r="A116" s="229" t="s">
        <v>1047</v>
      </c>
      <c r="B116" s="230" t="s">
        <v>1048</v>
      </c>
    </row>
    <row r="117" spans="1:2">
      <c r="A117" s="229" t="s">
        <v>1049</v>
      </c>
      <c r="B117" s="230" t="s">
        <v>1050</v>
      </c>
    </row>
    <row r="118" spans="1:2">
      <c r="A118" s="229" t="s">
        <v>1051</v>
      </c>
      <c r="B118" s="230" t="s">
        <v>1052</v>
      </c>
    </row>
    <row r="119" spans="1:2">
      <c r="A119" s="229" t="s">
        <v>1053</v>
      </c>
      <c r="B119" s="230" t="s">
        <v>1054</v>
      </c>
    </row>
    <row r="120" spans="1:2">
      <c r="A120" s="229" t="s">
        <v>1055</v>
      </c>
      <c r="B120" s="230" t="s">
        <v>1056</v>
      </c>
    </row>
    <row r="121" spans="1:2">
      <c r="A121" s="229" t="s">
        <v>1057</v>
      </c>
      <c r="B121" s="230" t="s">
        <v>1058</v>
      </c>
    </row>
    <row r="122" spans="1:2">
      <c r="A122" s="229" t="s">
        <v>1059</v>
      </c>
      <c r="B122" s="230" t="s">
        <v>1060</v>
      </c>
    </row>
    <row r="123" spans="1:2">
      <c r="A123" s="229" t="s">
        <v>1061</v>
      </c>
      <c r="B123" s="230" t="s">
        <v>1062</v>
      </c>
    </row>
    <row r="124" spans="1:2">
      <c r="A124" s="229" t="s">
        <v>1063</v>
      </c>
      <c r="B124" s="230" t="s">
        <v>1064</v>
      </c>
    </row>
    <row r="125" spans="1:2">
      <c r="A125" s="229" t="s">
        <v>1065</v>
      </c>
      <c r="B125" s="230" t="s">
        <v>1066</v>
      </c>
    </row>
    <row r="126" spans="1:2">
      <c r="A126" s="229" t="s">
        <v>1067</v>
      </c>
      <c r="B126" s="230" t="s">
        <v>1068</v>
      </c>
    </row>
    <row r="127" spans="1:2">
      <c r="A127" s="229" t="s">
        <v>1069</v>
      </c>
      <c r="B127" s="230" t="s">
        <v>1070</v>
      </c>
    </row>
    <row r="128" spans="1:2">
      <c r="A128" s="229" t="s">
        <v>1071</v>
      </c>
      <c r="B128" s="230" t="s">
        <v>1072</v>
      </c>
    </row>
    <row r="129" spans="1:2">
      <c r="A129" s="229" t="s">
        <v>1073</v>
      </c>
      <c r="B129" s="230" t="s">
        <v>1072</v>
      </c>
    </row>
    <row r="130" spans="1:2">
      <c r="A130" s="229" t="s">
        <v>1074</v>
      </c>
      <c r="B130" s="230" t="s">
        <v>1075</v>
      </c>
    </row>
    <row r="131" spans="1:2">
      <c r="A131" s="229" t="s">
        <v>1076</v>
      </c>
      <c r="B131" s="230" t="s">
        <v>1077</v>
      </c>
    </row>
    <row r="132" spans="1:2">
      <c r="A132" s="229" t="s">
        <v>1078</v>
      </c>
      <c r="B132" s="230" t="s">
        <v>1075</v>
      </c>
    </row>
    <row r="133" spans="1:2">
      <c r="A133" s="227" t="s">
        <v>617</v>
      </c>
      <c r="B133" s="231" t="s">
        <v>1341</v>
      </c>
    </row>
    <row r="134" spans="1:2">
      <c r="A134" s="229" t="s">
        <v>1079</v>
      </c>
      <c r="B134" s="230" t="s">
        <v>1080</v>
      </c>
    </row>
    <row r="135" spans="1:2">
      <c r="A135" s="229" t="s">
        <v>1081</v>
      </c>
      <c r="B135" s="230" t="s">
        <v>1082</v>
      </c>
    </row>
    <row r="136" spans="1:2">
      <c r="A136" s="229" t="s">
        <v>1083</v>
      </c>
      <c r="B136" s="230" t="s">
        <v>1084</v>
      </c>
    </row>
    <row r="137" spans="1:2">
      <c r="A137" s="229" t="s">
        <v>1085</v>
      </c>
      <c r="B137" s="230" t="s">
        <v>1086</v>
      </c>
    </row>
    <row r="138" spans="1:2">
      <c r="A138" s="229" t="s">
        <v>1087</v>
      </c>
      <c r="B138" s="230" t="s">
        <v>1088</v>
      </c>
    </row>
    <row r="139" spans="1:2">
      <c r="A139" s="229" t="s">
        <v>1089</v>
      </c>
      <c r="B139" s="230" t="s">
        <v>1090</v>
      </c>
    </row>
    <row r="140" spans="1:2">
      <c r="A140" s="229" t="s">
        <v>1091</v>
      </c>
      <c r="B140" s="230" t="s">
        <v>1092</v>
      </c>
    </row>
    <row r="141" spans="1:2">
      <c r="A141" s="229" t="s">
        <v>1093</v>
      </c>
      <c r="B141" s="230" t="s">
        <v>1094</v>
      </c>
    </row>
    <row r="142" spans="1:2">
      <c r="A142" s="229" t="s">
        <v>1095</v>
      </c>
      <c r="B142" s="230" t="s">
        <v>1096</v>
      </c>
    </row>
    <row r="143" spans="1:2">
      <c r="A143" s="229" t="s">
        <v>1097</v>
      </c>
      <c r="B143" s="230" t="s">
        <v>1098</v>
      </c>
    </row>
    <row r="144" spans="1:2">
      <c r="A144" s="229" t="s">
        <v>1099</v>
      </c>
      <c r="B144" s="230" t="s">
        <v>1100</v>
      </c>
    </row>
    <row r="145" spans="1:2">
      <c r="A145" s="229" t="s">
        <v>1101</v>
      </c>
      <c r="B145" s="230" t="s">
        <v>1102</v>
      </c>
    </row>
    <row r="146" spans="1:2">
      <c r="A146" s="229" t="s">
        <v>1103</v>
      </c>
      <c r="B146" s="230" t="s">
        <v>1104</v>
      </c>
    </row>
    <row r="147" spans="1:2">
      <c r="A147" s="229" t="s">
        <v>1105</v>
      </c>
      <c r="B147" s="230" t="s">
        <v>1106</v>
      </c>
    </row>
    <row r="148" spans="1:2">
      <c r="A148" s="229" t="s">
        <v>1107</v>
      </c>
      <c r="B148" s="230" t="s">
        <v>1108</v>
      </c>
    </row>
    <row r="149" spans="1:2">
      <c r="A149" s="229" t="s">
        <v>1109</v>
      </c>
      <c r="B149" s="230" t="s">
        <v>1110</v>
      </c>
    </row>
    <row r="150" spans="1:2">
      <c r="A150" s="229" t="s">
        <v>1111</v>
      </c>
      <c r="B150" s="230" t="s">
        <v>1112</v>
      </c>
    </row>
    <row r="151" spans="1:2">
      <c r="A151" s="229" t="s">
        <v>1113</v>
      </c>
      <c r="B151" s="230" t="s">
        <v>1114</v>
      </c>
    </row>
    <row r="152" spans="1:2">
      <c r="A152" s="229" t="s">
        <v>1115</v>
      </c>
      <c r="B152" s="230" t="s">
        <v>1116</v>
      </c>
    </row>
    <row r="153" spans="1:2">
      <c r="A153" s="229" t="s">
        <v>1117</v>
      </c>
      <c r="B153" s="230" t="s">
        <v>1118</v>
      </c>
    </row>
    <row r="154" spans="1:2">
      <c r="A154" s="229" t="s">
        <v>1119</v>
      </c>
      <c r="B154" s="230" t="s">
        <v>1120</v>
      </c>
    </row>
    <row r="155" spans="1:2">
      <c r="A155" s="229" t="s">
        <v>1121</v>
      </c>
      <c r="B155" s="230" t="s">
        <v>1122</v>
      </c>
    </row>
    <row r="156" spans="1:2">
      <c r="A156" s="229" t="s">
        <v>1123</v>
      </c>
      <c r="B156" s="230" t="s">
        <v>1124</v>
      </c>
    </row>
    <row r="157" spans="1:2">
      <c r="A157" s="229" t="s">
        <v>1125</v>
      </c>
      <c r="B157" s="230" t="s">
        <v>1126</v>
      </c>
    </row>
    <row r="158" spans="1:2">
      <c r="A158" s="229" t="s">
        <v>1127</v>
      </c>
      <c r="B158" s="230" t="s">
        <v>1128</v>
      </c>
    </row>
    <row r="159" spans="1:2">
      <c r="A159" s="229" t="s">
        <v>1129</v>
      </c>
      <c r="B159" s="230" t="s">
        <v>1130</v>
      </c>
    </row>
    <row r="160" spans="1:2">
      <c r="A160" s="229" t="s">
        <v>1131</v>
      </c>
      <c r="B160" s="230" t="s">
        <v>1132</v>
      </c>
    </row>
    <row r="161" spans="1:2">
      <c r="A161" s="229" t="s">
        <v>1133</v>
      </c>
      <c r="B161" s="230" t="s">
        <v>1134</v>
      </c>
    </row>
    <row r="162" spans="1:2">
      <c r="A162" s="229" t="s">
        <v>1135</v>
      </c>
      <c r="B162" s="230" t="s">
        <v>1136</v>
      </c>
    </row>
    <row r="163" spans="1:2">
      <c r="A163" s="229" t="s">
        <v>1137</v>
      </c>
      <c r="B163" s="230" t="s">
        <v>1138</v>
      </c>
    </row>
    <row r="164" spans="1:2">
      <c r="A164" s="229" t="s">
        <v>1139</v>
      </c>
      <c r="B164" s="230" t="s">
        <v>1140</v>
      </c>
    </row>
    <row r="165" spans="1:2">
      <c r="A165" s="229" t="s">
        <v>1141</v>
      </c>
      <c r="B165" s="230" t="s">
        <v>1142</v>
      </c>
    </row>
    <row r="166" spans="1:2">
      <c r="A166" s="229" t="s">
        <v>1143</v>
      </c>
      <c r="B166" s="230" t="s">
        <v>1144</v>
      </c>
    </row>
    <row r="167" spans="1:2">
      <c r="A167" s="229" t="s">
        <v>1145</v>
      </c>
      <c r="B167" s="230" t="s">
        <v>1146</v>
      </c>
    </row>
    <row r="168" spans="1:2">
      <c r="A168" s="229" t="s">
        <v>1147</v>
      </c>
      <c r="B168" s="230" t="s">
        <v>1148</v>
      </c>
    </row>
    <row r="169" spans="1:2">
      <c r="A169" s="229" t="s">
        <v>1149</v>
      </c>
      <c r="B169" s="230" t="s">
        <v>1150</v>
      </c>
    </row>
    <row r="170" spans="1:2">
      <c r="A170" s="229" t="s">
        <v>1151</v>
      </c>
      <c r="B170" s="230" t="s">
        <v>1152</v>
      </c>
    </row>
    <row r="171" spans="1:2">
      <c r="A171" s="229" t="s">
        <v>1153</v>
      </c>
      <c r="B171" s="230" t="s">
        <v>1154</v>
      </c>
    </row>
    <row r="172" spans="1:2">
      <c r="A172" s="229" t="s">
        <v>1155</v>
      </c>
      <c r="B172" s="230" t="s">
        <v>1156</v>
      </c>
    </row>
    <row r="173" spans="1:2">
      <c r="A173" s="229" t="s">
        <v>1157</v>
      </c>
      <c r="B173" s="230" t="s">
        <v>1158</v>
      </c>
    </row>
    <row r="174" spans="1:2">
      <c r="A174" s="229" t="s">
        <v>1159</v>
      </c>
      <c r="B174" s="230" t="s">
        <v>1160</v>
      </c>
    </row>
    <row r="175" spans="1:2">
      <c r="A175" s="229" t="s">
        <v>1161</v>
      </c>
      <c r="B175" s="230" t="s">
        <v>1162</v>
      </c>
    </row>
    <row r="176" spans="1:2">
      <c r="A176" s="229" t="s">
        <v>1163</v>
      </c>
      <c r="B176" s="230" t="s">
        <v>1164</v>
      </c>
    </row>
    <row r="177" spans="1:2">
      <c r="A177" s="229" t="s">
        <v>1165</v>
      </c>
      <c r="B177" s="230" t="s">
        <v>1166</v>
      </c>
    </row>
    <row r="178" spans="1:2">
      <c r="A178" s="229" t="s">
        <v>1167</v>
      </c>
      <c r="B178" s="230" t="s">
        <v>1168</v>
      </c>
    </row>
    <row r="179" spans="1:2">
      <c r="A179" s="229" t="s">
        <v>1169</v>
      </c>
      <c r="B179" s="230" t="s">
        <v>1170</v>
      </c>
    </row>
    <row r="180" spans="1:2">
      <c r="A180" s="229" t="s">
        <v>1171</v>
      </c>
      <c r="B180" s="230" t="s">
        <v>1172</v>
      </c>
    </row>
    <row r="181" spans="1:2">
      <c r="A181" s="229" t="s">
        <v>1173</v>
      </c>
      <c r="B181" s="230" t="s">
        <v>1174</v>
      </c>
    </row>
    <row r="182" spans="1:2">
      <c r="A182" s="229" t="s">
        <v>1175</v>
      </c>
      <c r="B182" s="230" t="s">
        <v>1176</v>
      </c>
    </row>
    <row r="183" spans="1:2">
      <c r="A183" s="229" t="s">
        <v>1177</v>
      </c>
      <c r="B183" s="230" t="s">
        <v>1178</v>
      </c>
    </row>
    <row r="184" spans="1:2">
      <c r="A184" s="229" t="s">
        <v>1179</v>
      </c>
      <c r="B184" s="230" t="s">
        <v>1180</v>
      </c>
    </row>
    <row r="185" spans="1:2">
      <c r="A185" s="229" t="s">
        <v>1181</v>
      </c>
      <c r="B185" s="230" t="s">
        <v>1182</v>
      </c>
    </row>
    <row r="186" spans="1:2">
      <c r="A186" s="229" t="s">
        <v>1183</v>
      </c>
      <c r="B186" s="230" t="s">
        <v>1184</v>
      </c>
    </row>
    <row r="187" spans="1:2">
      <c r="A187" s="229" t="s">
        <v>1185</v>
      </c>
      <c r="B187" s="230" t="s">
        <v>1186</v>
      </c>
    </row>
    <row r="188" spans="1:2">
      <c r="A188" s="227" t="s">
        <v>620</v>
      </c>
      <c r="B188" s="231" t="s">
        <v>1342</v>
      </c>
    </row>
    <row r="189" spans="1:2">
      <c r="A189" s="229" t="s">
        <v>1187</v>
      </c>
      <c r="B189" s="230" t="s">
        <v>1188</v>
      </c>
    </row>
    <row r="190" spans="1:2">
      <c r="A190" s="229" t="s">
        <v>1189</v>
      </c>
      <c r="B190" s="230" t="s">
        <v>1190</v>
      </c>
    </row>
    <row r="191" spans="1:2">
      <c r="A191" s="229" t="s">
        <v>1191</v>
      </c>
      <c r="B191" s="230" t="s">
        <v>1192</v>
      </c>
    </row>
    <row r="192" spans="1:2">
      <c r="A192" s="229" t="s">
        <v>1193</v>
      </c>
      <c r="B192" s="230" t="s">
        <v>1194</v>
      </c>
    </row>
    <row r="193" spans="1:2">
      <c r="A193" s="227" t="s">
        <v>657</v>
      </c>
      <c r="B193" s="231" t="s">
        <v>658</v>
      </c>
    </row>
    <row r="194" spans="1:2">
      <c r="A194" s="229" t="s">
        <v>1195</v>
      </c>
      <c r="B194" s="230" t="s">
        <v>1196</v>
      </c>
    </row>
    <row r="195" spans="1:2">
      <c r="A195" s="229" t="s">
        <v>1197</v>
      </c>
      <c r="B195" s="230" t="s">
        <v>1198</v>
      </c>
    </row>
    <row r="196" spans="1:2">
      <c r="A196" s="229" t="s">
        <v>1199</v>
      </c>
      <c r="B196" s="230" t="s">
        <v>1200</v>
      </c>
    </row>
    <row r="197" spans="1:2">
      <c r="A197" s="229" t="s">
        <v>1201</v>
      </c>
      <c r="B197" s="230" t="s">
        <v>1202</v>
      </c>
    </row>
    <row r="198" spans="1:2">
      <c r="A198" s="227" t="s">
        <v>659</v>
      </c>
      <c r="B198" s="231" t="s">
        <v>660</v>
      </c>
    </row>
    <row r="199" spans="1:2">
      <c r="A199" s="229" t="s">
        <v>1203</v>
      </c>
      <c r="B199" s="230" t="s">
        <v>1204</v>
      </c>
    </row>
    <row r="200" spans="1:2">
      <c r="A200" s="229" t="s">
        <v>1205</v>
      </c>
      <c r="B200" s="230" t="s">
        <v>1206</v>
      </c>
    </row>
    <row r="201" spans="1:2">
      <c r="A201" s="229" t="s">
        <v>1207</v>
      </c>
      <c r="B201" s="230" t="s">
        <v>1208</v>
      </c>
    </row>
    <row r="202" spans="1:2">
      <c r="A202" s="227" t="s">
        <v>662</v>
      </c>
      <c r="B202" s="231" t="s">
        <v>663</v>
      </c>
    </row>
    <row r="203" spans="1:2">
      <c r="A203" s="229" t="s">
        <v>1209</v>
      </c>
      <c r="B203" s="230" t="s">
        <v>1210</v>
      </c>
    </row>
    <row r="204" spans="1:2">
      <c r="A204" s="225" t="s">
        <v>348</v>
      </c>
      <c r="B204" s="232" t="s">
        <v>1353</v>
      </c>
    </row>
    <row r="205" spans="1:2">
      <c r="A205" s="227" t="s">
        <v>1311</v>
      </c>
      <c r="B205" s="231" t="s">
        <v>1312</v>
      </c>
    </row>
    <row r="206" spans="1:2">
      <c r="A206" s="227" t="s">
        <v>673</v>
      </c>
      <c r="B206" s="231" t="s">
        <v>1357</v>
      </c>
    </row>
    <row r="207" spans="1:2">
      <c r="A207" s="229" t="s">
        <v>1211</v>
      </c>
      <c r="B207" s="230" t="s">
        <v>1212</v>
      </c>
    </row>
    <row r="208" spans="1:2">
      <c r="A208" s="229" t="s">
        <v>1213</v>
      </c>
      <c r="B208" s="230" t="s">
        <v>1214</v>
      </c>
    </row>
    <row r="209" spans="1:2">
      <c r="A209" s="229" t="s">
        <v>1215</v>
      </c>
      <c r="B209" s="230" t="s">
        <v>1216</v>
      </c>
    </row>
    <row r="210" spans="1:2">
      <c r="A210" s="229" t="s">
        <v>1217</v>
      </c>
      <c r="B210" s="230" t="s">
        <v>1218</v>
      </c>
    </row>
    <row r="211" spans="1:2">
      <c r="A211" s="229" t="s">
        <v>1219</v>
      </c>
      <c r="B211" s="230" t="s">
        <v>1220</v>
      </c>
    </row>
    <row r="212" spans="1:2">
      <c r="A212" s="229" t="s">
        <v>1221</v>
      </c>
      <c r="B212" s="230" t="s">
        <v>1222</v>
      </c>
    </row>
    <row r="213" spans="1:2">
      <c r="A213" s="229" t="s">
        <v>1223</v>
      </c>
      <c r="B213" s="230" t="s">
        <v>1224</v>
      </c>
    </row>
    <row r="214" spans="1:2">
      <c r="A214" s="229" t="s">
        <v>1225</v>
      </c>
      <c r="B214" s="230" t="s">
        <v>1226</v>
      </c>
    </row>
    <row r="215" spans="1:2">
      <c r="A215" s="229" t="s">
        <v>1227</v>
      </c>
      <c r="B215" s="230" t="s">
        <v>1228</v>
      </c>
    </row>
    <row r="216" spans="1:2">
      <c r="A216" s="229" t="s">
        <v>1229</v>
      </c>
      <c r="B216" s="230" t="s">
        <v>1230</v>
      </c>
    </row>
    <row r="217" spans="1:2">
      <c r="A217" s="229" t="s">
        <v>1231</v>
      </c>
      <c r="B217" s="230" t="s">
        <v>1232</v>
      </c>
    </row>
    <row r="218" spans="1:2">
      <c r="A218" s="229" t="s">
        <v>1233</v>
      </c>
      <c r="B218" s="230" t="s">
        <v>1234</v>
      </c>
    </row>
    <row r="219" spans="1:2">
      <c r="A219" s="229" t="s">
        <v>1235</v>
      </c>
      <c r="B219" s="230" t="s">
        <v>1236</v>
      </c>
    </row>
    <row r="220" spans="1:2">
      <c r="A220" s="229" t="s">
        <v>1237</v>
      </c>
      <c r="B220" s="230" t="s">
        <v>1238</v>
      </c>
    </row>
    <row r="221" spans="1:2">
      <c r="A221" s="229" t="s">
        <v>1239</v>
      </c>
      <c r="B221" s="230" t="s">
        <v>1240</v>
      </c>
    </row>
    <row r="222" spans="1:2">
      <c r="A222" s="229" t="s">
        <v>1241</v>
      </c>
      <c r="B222" s="230" t="s">
        <v>1242</v>
      </c>
    </row>
    <row r="223" spans="1:2">
      <c r="A223" s="229" t="s">
        <v>1243</v>
      </c>
      <c r="B223" s="230" t="s">
        <v>1244</v>
      </c>
    </row>
    <row r="224" spans="1:2">
      <c r="A224" s="229" t="s">
        <v>1245</v>
      </c>
      <c r="B224" s="230" t="s">
        <v>1246</v>
      </c>
    </row>
    <row r="225" spans="1:2">
      <c r="A225" s="229" t="s">
        <v>1247</v>
      </c>
      <c r="B225" s="230" t="s">
        <v>1248</v>
      </c>
    </row>
    <row r="226" spans="1:2" ht="20.399999999999999">
      <c r="A226" s="229" t="s">
        <v>1249</v>
      </c>
      <c r="B226" s="230" t="s">
        <v>1250</v>
      </c>
    </row>
    <row r="227" spans="1:2">
      <c r="A227" s="229" t="s">
        <v>1251</v>
      </c>
      <c r="B227" s="230" t="s">
        <v>1252</v>
      </c>
    </row>
    <row r="228" spans="1:2">
      <c r="A228" s="229" t="s">
        <v>1253</v>
      </c>
      <c r="B228" s="230" t="s">
        <v>1254</v>
      </c>
    </row>
    <row r="229" spans="1:2">
      <c r="A229" s="229" t="s">
        <v>1255</v>
      </c>
      <c r="B229" s="230" t="s">
        <v>1256</v>
      </c>
    </row>
    <row r="230" spans="1:2">
      <c r="A230" s="229" t="s">
        <v>1257</v>
      </c>
      <c r="B230" s="230" t="s">
        <v>1258</v>
      </c>
    </row>
    <row r="231" spans="1:2">
      <c r="A231" s="229" t="s">
        <v>1259</v>
      </c>
      <c r="B231" s="230" t="s">
        <v>1260</v>
      </c>
    </row>
    <row r="232" spans="1:2">
      <c r="A232" s="229" t="s">
        <v>1261</v>
      </c>
      <c r="B232" s="230" t="s">
        <v>1262</v>
      </c>
    </row>
    <row r="233" spans="1:2">
      <c r="A233" s="229" t="s">
        <v>1263</v>
      </c>
      <c r="B233" s="230" t="s">
        <v>1264</v>
      </c>
    </row>
    <row r="234" spans="1:2">
      <c r="A234" s="229" t="s">
        <v>1265</v>
      </c>
      <c r="B234" s="230" t="s">
        <v>1266</v>
      </c>
    </row>
    <row r="235" spans="1:2">
      <c r="A235" s="229" t="s">
        <v>1267</v>
      </c>
      <c r="B235" s="230" t="s">
        <v>1268</v>
      </c>
    </row>
    <row r="236" spans="1:2">
      <c r="A236" s="229" t="s">
        <v>1269</v>
      </c>
      <c r="B236" s="230" t="s">
        <v>1270</v>
      </c>
    </row>
    <row r="237" spans="1:2">
      <c r="A237" s="229" t="s">
        <v>1271</v>
      </c>
      <c r="B237" s="230" t="s">
        <v>1272</v>
      </c>
    </row>
    <row r="238" spans="1:2">
      <c r="A238" s="229" t="s">
        <v>1273</v>
      </c>
      <c r="B238" s="230" t="s">
        <v>1274</v>
      </c>
    </row>
    <row r="239" spans="1:2">
      <c r="A239" s="229" t="s">
        <v>1275</v>
      </c>
      <c r="B239" s="230" t="s">
        <v>1276</v>
      </c>
    </row>
    <row r="240" spans="1:2">
      <c r="A240" s="229" t="s">
        <v>1277</v>
      </c>
      <c r="B240" s="230" t="s">
        <v>1278</v>
      </c>
    </row>
    <row r="241" spans="1:2">
      <c r="A241" s="227" t="s">
        <v>680</v>
      </c>
      <c r="B241" s="231" t="s">
        <v>658</v>
      </c>
    </row>
    <row r="242" spans="1:2">
      <c r="A242" s="229" t="s">
        <v>1279</v>
      </c>
      <c r="B242" s="230" t="s">
        <v>1196</v>
      </c>
    </row>
    <row r="243" spans="1:2">
      <c r="A243" s="229" t="s">
        <v>1280</v>
      </c>
      <c r="B243" s="230" t="s">
        <v>1198</v>
      </c>
    </row>
    <row r="244" spans="1:2">
      <c r="A244" s="229" t="s">
        <v>1281</v>
      </c>
      <c r="B244" s="230" t="s">
        <v>1282</v>
      </c>
    </row>
    <row r="245" spans="1:2">
      <c r="A245" s="229" t="s">
        <v>1283</v>
      </c>
      <c r="B245" s="230" t="s">
        <v>1200</v>
      </c>
    </row>
    <row r="246" spans="1:2">
      <c r="A246" s="225" t="s">
        <v>1375</v>
      </c>
      <c r="B246" s="232" t="s">
        <v>1376</v>
      </c>
    </row>
    <row r="247" spans="1:2">
      <c r="A247" s="227" t="s">
        <v>1377</v>
      </c>
      <c r="B247" s="231" t="s">
        <v>1378</v>
      </c>
    </row>
    <row r="248" spans="1:2">
      <c r="A248" s="227" t="s">
        <v>1405</v>
      </c>
      <c r="B248" s="231" t="s">
        <v>1406</v>
      </c>
    </row>
    <row r="249" spans="1:2">
      <c r="A249" s="229" t="s">
        <v>1642</v>
      </c>
      <c r="B249" s="230" t="s">
        <v>1643</v>
      </c>
    </row>
    <row r="250" spans="1:2">
      <c r="A250" s="227" t="s">
        <v>1407</v>
      </c>
      <c r="B250" s="231" t="s">
        <v>1408</v>
      </c>
    </row>
    <row r="251" spans="1:2">
      <c r="A251" s="229" t="s">
        <v>1644</v>
      </c>
      <c r="B251" s="230" t="s">
        <v>1645</v>
      </c>
    </row>
    <row r="252" spans="1:2">
      <c r="A252" s="229" t="s">
        <v>1646</v>
      </c>
      <c r="B252" s="230" t="s">
        <v>1647</v>
      </c>
    </row>
    <row r="253" spans="1:2">
      <c r="A253" s="225" t="s">
        <v>1415</v>
      </c>
      <c r="B253" s="232" t="s">
        <v>1416</v>
      </c>
    </row>
    <row r="254" spans="1:2">
      <c r="A254" s="227" t="s">
        <v>1377</v>
      </c>
      <c r="B254" s="231" t="s">
        <v>1378</v>
      </c>
    </row>
    <row r="255" spans="1:2">
      <c r="A255" s="227" t="s">
        <v>1425</v>
      </c>
      <c r="B255" s="231" t="s">
        <v>1426</v>
      </c>
    </row>
    <row r="256" spans="1:2">
      <c r="A256" s="229" t="s">
        <v>1648</v>
      </c>
      <c r="B256" s="230" t="s">
        <v>1649</v>
      </c>
    </row>
    <row r="257" spans="1:2">
      <c r="A257" s="229" t="s">
        <v>1650</v>
      </c>
      <c r="B257" s="230" t="s">
        <v>1651</v>
      </c>
    </row>
    <row r="258" spans="1:2">
      <c r="A258" s="229" t="s">
        <v>1652</v>
      </c>
      <c r="B258" s="230" t="s">
        <v>1653</v>
      </c>
    </row>
    <row r="259" spans="1:2">
      <c r="A259" s="225" t="s">
        <v>1546</v>
      </c>
      <c r="B259" s="232" t="s">
        <v>1547</v>
      </c>
    </row>
    <row r="260" spans="1:2">
      <c r="A260" s="227" t="s">
        <v>1289</v>
      </c>
      <c r="B260" s="231" t="s">
        <v>1290</v>
      </c>
    </row>
    <row r="261" spans="1:2">
      <c r="A261" s="227" t="s">
        <v>1576</v>
      </c>
      <c r="B261" s="231" t="s">
        <v>660</v>
      </c>
    </row>
    <row r="262" spans="1:2">
      <c r="A262" s="229" t="s">
        <v>1654</v>
      </c>
      <c r="B262" s="230" t="s">
        <v>1655</v>
      </c>
    </row>
    <row r="263" spans="1:2">
      <c r="A263" s="229" t="s">
        <v>1656</v>
      </c>
      <c r="B263" s="230" t="s">
        <v>1657</v>
      </c>
    </row>
    <row r="264" spans="1:2">
      <c r="A264" s="229" t="s">
        <v>1658</v>
      </c>
      <c r="B264" s="230" t="s">
        <v>1659</v>
      </c>
    </row>
    <row r="265" spans="1:2">
      <c r="A265" s="229" t="s">
        <v>1660</v>
      </c>
      <c r="B265" s="230" t="s">
        <v>1661</v>
      </c>
    </row>
    <row r="266" spans="1:2">
      <c r="A266" s="229" t="s">
        <v>1662</v>
      </c>
      <c r="B266" s="230" t="s">
        <v>1663</v>
      </c>
    </row>
    <row r="267" spans="1:2">
      <c r="A267" s="229" t="s">
        <v>1664</v>
      </c>
      <c r="B267" s="230" t="s">
        <v>1665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Opći dio</vt:lpstr>
      <vt:lpstr>Plan prihoda za unos u SAP</vt:lpstr>
      <vt:lpstr>Plan rashoda za unos u SAP</vt:lpstr>
      <vt:lpstr>PLAN PRIHODA I PRIMITAKA </vt:lpstr>
      <vt:lpstr>PLAN RASHODA I IZDATAKA</vt:lpstr>
      <vt:lpstr>PLAN IZDATAKA</vt:lpstr>
      <vt:lpstr>ANALITIKA EU PROJEKATA</vt:lpstr>
      <vt:lpstr>AKT</vt:lpstr>
      <vt:lpstr>p4</vt:lpstr>
      <vt:lpstr>'ANALITIKA EU PROJEKATA'!_FilterDatabase</vt:lpstr>
      <vt:lpstr>'Plan prihoda za unos u SAP'!_FilterDatabase</vt:lpstr>
      <vt:lpstr>'Plan rashoda za unos u SAP'!_FilterDatabase</vt:lpstr>
      <vt:lpstr>'ANALITIKA EU PROJEKATA'!Print_Area</vt:lpstr>
      <vt:lpstr>'Opći dio'!Print_Area</vt:lpstr>
      <vt:lpstr>'Plan prihoda za unos u SAP'!Print_Area</vt:lpstr>
      <vt:lpstr>'Plan rashoda za unos u SAP'!Print_Area</vt:lpstr>
      <vt:lpstr>'ANALITIKA EU PROJEKATA'!Print_Titles</vt:lpstr>
      <vt:lpstr>'Plan prihoda za unos u SAP'!Print_Titles</vt:lpstr>
      <vt:lpstr>'PLAN RASHODA I IZDATAKA'!Print_Titles</vt:lpstr>
      <vt:lpstr>'Plan rashoda za unos u SAP'!Print_Titles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Natasha Kathleen Ružić</cp:lastModifiedBy>
  <cp:revision>3</cp:revision>
  <cp:lastPrinted>2018-09-13T07:01:06Z</cp:lastPrinted>
  <dcterms:created xsi:type="dcterms:W3CDTF">2018-09-10T07:36:17Z</dcterms:created>
  <dcterms:modified xsi:type="dcterms:W3CDTF">2025-07-21T18:19:51Z</dcterms:modified>
  <cp:contentStatus>Konačno</cp:contentStatus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_MarkAsFinal">
    <vt:bool>true</vt:bool>
  </property>
</Properties>
</file>